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980" windowHeight="8070"/>
  </bookViews>
  <sheets>
    <sheet name="производство" sheetId="1" r:id="rId1"/>
    <sheet name="передача" sheetId="4" r:id="rId2"/>
    <sheet name="гор вода" sheetId="5" r:id="rId3"/>
    <sheet name="Лист1" sheetId="8" r:id="rId4"/>
  </sheets>
  <calcPr calcId="144525" refMode="R1C1"/>
</workbook>
</file>

<file path=xl/calcChain.xml><?xml version="1.0" encoding="utf-8"?>
<calcChain xmlns="http://schemas.openxmlformats.org/spreadsheetml/2006/main">
  <c r="U61" i="5" l="1"/>
  <c r="U58" i="5"/>
  <c r="U57" i="5"/>
  <c r="U56" i="5"/>
  <c r="U53" i="5"/>
  <c r="U51" i="5"/>
  <c r="U50" i="5"/>
  <c r="U49" i="5"/>
  <c r="U48" i="5"/>
  <c r="U45" i="5"/>
  <c r="U44" i="5"/>
  <c r="U40" i="5"/>
  <c r="U39" i="5"/>
  <c r="U31" i="5"/>
  <c r="U28" i="5"/>
  <c r="U24" i="5"/>
  <c r="U23" i="5"/>
  <c r="U21" i="5"/>
  <c r="U20" i="5"/>
  <c r="U19" i="5"/>
  <c r="U18" i="5"/>
  <c r="U17" i="5"/>
  <c r="U16" i="5"/>
  <c r="U15" i="5"/>
  <c r="U13" i="5"/>
  <c r="U11" i="5"/>
  <c r="T67" i="4"/>
  <c r="T63" i="4"/>
  <c r="T62" i="4"/>
  <c r="T59" i="4"/>
  <c r="T52" i="4"/>
  <c r="T51" i="4"/>
  <c r="T50" i="4"/>
  <c r="T49" i="4"/>
  <c r="T47" i="4"/>
  <c r="T46" i="4"/>
  <c r="T44" i="4"/>
  <c r="T43" i="4"/>
  <c r="T42" i="4"/>
  <c r="T41" i="4"/>
  <c r="T39" i="4"/>
  <c r="T37" i="4"/>
  <c r="T34" i="4"/>
  <c r="T32" i="4"/>
  <c r="T28" i="4"/>
  <c r="T27" i="4"/>
  <c r="T26" i="4"/>
  <c r="T24" i="4"/>
  <c r="T23" i="4"/>
  <c r="T20" i="4"/>
  <c r="T18" i="4"/>
  <c r="T16" i="4"/>
  <c r="T15" i="4"/>
  <c r="X60" i="1"/>
  <c r="X57" i="1"/>
  <c r="X56" i="1"/>
  <c r="X53" i="1"/>
  <c r="X50" i="1"/>
  <c r="X49" i="1"/>
  <c r="X45" i="1"/>
  <c r="X44" i="1"/>
  <c r="X43" i="1"/>
  <c r="X42" i="1"/>
  <c r="X41" i="1"/>
  <c r="X39" i="1"/>
  <c r="X38" i="1"/>
  <c r="X37" i="1"/>
  <c r="X36" i="1"/>
  <c r="X32" i="1"/>
  <c r="X34" i="1"/>
  <c r="X30" i="1"/>
  <c r="X29" i="1"/>
  <c r="X26" i="1"/>
  <c r="X22" i="1"/>
  <c r="X21" i="1"/>
  <c r="X20" i="1"/>
  <c r="X19" i="1"/>
  <c r="X18" i="1"/>
  <c r="X17" i="1"/>
  <c r="X16" i="1"/>
  <c r="X15" i="1"/>
  <c r="X14" i="1"/>
  <c r="X12" i="1"/>
  <c r="X11" i="1"/>
  <c r="W60" i="1" l="1"/>
  <c r="T61" i="5" l="1"/>
  <c r="S67" i="4"/>
  <c r="S61" i="5"/>
  <c r="S57" i="5"/>
  <c r="S56" i="5"/>
  <c r="S53" i="5"/>
  <c r="S51" i="5"/>
  <c r="S50" i="5"/>
  <c r="S49" i="5"/>
  <c r="S48" i="5"/>
  <c r="S47" i="5"/>
  <c r="S45" i="5"/>
  <c r="S44" i="5"/>
  <c r="S40" i="5"/>
  <c r="S39" i="5"/>
  <c r="S31" i="5"/>
  <c r="S28" i="5"/>
  <c r="S24" i="5"/>
  <c r="S23" i="5"/>
  <c r="S21" i="5"/>
  <c r="S20" i="5"/>
  <c r="S19" i="5"/>
  <c r="S18" i="5"/>
  <c r="S17" i="5"/>
  <c r="S16" i="5"/>
  <c r="S15" i="5"/>
  <c r="S13" i="5"/>
  <c r="S11" i="5"/>
  <c r="R67" i="4"/>
  <c r="R64" i="4"/>
  <c r="R63" i="4"/>
  <c r="R62" i="4"/>
  <c r="R59" i="4"/>
  <c r="R52" i="4"/>
  <c r="R51" i="4"/>
  <c r="R50" i="4"/>
  <c r="R49" i="4"/>
  <c r="R47" i="4"/>
  <c r="R46" i="4"/>
  <c r="R44" i="4"/>
  <c r="R43" i="4"/>
  <c r="R42" i="4"/>
  <c r="R41" i="4"/>
  <c r="R39" i="4"/>
  <c r="R37" i="4"/>
  <c r="R34" i="4"/>
  <c r="R32" i="4"/>
  <c r="R31" i="4"/>
  <c r="R29" i="4"/>
  <c r="R28" i="4"/>
  <c r="R27" i="4"/>
  <c r="R26" i="4"/>
  <c r="R24" i="4"/>
  <c r="R23" i="4"/>
  <c r="R20" i="4"/>
  <c r="R18" i="4"/>
  <c r="R16" i="4"/>
  <c r="R15" i="4"/>
  <c r="V60" i="1"/>
  <c r="V57" i="1"/>
  <c r="V56" i="1"/>
  <c r="V54" i="1"/>
  <c r="V53" i="1"/>
  <c r="V51" i="1"/>
  <c r="V50" i="1"/>
  <c r="V49" i="1"/>
  <c r="V48" i="1"/>
  <c r="V47" i="1"/>
  <c r="V46" i="1"/>
  <c r="V45" i="1"/>
  <c r="V44" i="1"/>
  <c r="V43" i="1"/>
  <c r="V42" i="1"/>
  <c r="V41" i="1"/>
  <c r="V39" i="1"/>
  <c r="V38" i="1"/>
  <c r="V37" i="1"/>
  <c r="V36" i="1"/>
  <c r="V34" i="1"/>
  <c r="V32" i="1"/>
  <c r="V30" i="1"/>
  <c r="V29" i="1"/>
  <c r="V26" i="1"/>
  <c r="V25" i="1"/>
  <c r="V23" i="1"/>
  <c r="V22" i="1"/>
  <c r="V21" i="1"/>
  <c r="V20" i="1"/>
  <c r="V19" i="1"/>
  <c r="V18" i="1"/>
  <c r="V17" i="1"/>
  <c r="V16" i="1"/>
  <c r="V15" i="1"/>
  <c r="V14" i="1"/>
  <c r="V12" i="1"/>
  <c r="V11" i="1"/>
  <c r="Z14" i="1" l="1"/>
  <c r="Z15" i="1"/>
  <c r="Z16" i="1"/>
  <c r="Z18" i="1"/>
  <c r="Z19" i="1"/>
  <c r="Z20" i="1"/>
  <c r="Z21" i="1"/>
  <c r="Z22" i="1"/>
  <c r="Z23" i="1"/>
  <c r="Z25" i="1"/>
  <c r="Z26" i="1"/>
  <c r="Z29" i="1"/>
  <c r="Z30" i="1"/>
  <c r="Z32" i="1"/>
  <c r="Z34" i="1"/>
  <c r="Z36" i="1"/>
  <c r="Z37" i="1"/>
  <c r="Z38" i="1"/>
  <c r="Z39" i="1"/>
  <c r="Z41" i="1"/>
  <c r="Z42" i="1"/>
  <c r="Z43" i="1"/>
  <c r="Z44" i="1"/>
  <c r="Z45" i="1"/>
  <c r="Z46" i="1"/>
  <c r="Z47" i="1"/>
  <c r="Z48" i="1"/>
  <c r="Z49" i="1"/>
  <c r="Z50" i="1"/>
  <c r="Z51" i="1"/>
  <c r="Z54" i="1"/>
  <c r="Z57" i="1"/>
  <c r="V18" i="4" l="1"/>
  <c r="V20" i="4"/>
  <c r="V23" i="4"/>
  <c r="V24" i="4"/>
  <c r="V26" i="4"/>
  <c r="V27" i="4"/>
  <c r="V28" i="4"/>
  <c r="V29" i="4"/>
  <c r="V31" i="4"/>
  <c r="V32" i="4"/>
  <c r="V34" i="4"/>
  <c r="V37" i="4"/>
  <c r="V39" i="4"/>
  <c r="V41" i="4"/>
  <c r="V42" i="4"/>
  <c r="V43" i="4"/>
  <c r="V44" i="4"/>
  <c r="V46" i="4"/>
  <c r="V47" i="4"/>
  <c r="V49" i="4"/>
  <c r="V50" i="4"/>
  <c r="V51" i="4"/>
  <c r="V52" i="4"/>
  <c r="V61" i="4"/>
  <c r="V63" i="4"/>
  <c r="V64" i="4"/>
  <c r="V65" i="4"/>
  <c r="V66" i="4"/>
  <c r="Z17" i="1" l="1"/>
  <c r="Z12" i="1"/>
  <c r="Z11" i="1"/>
  <c r="F15" i="1"/>
  <c r="F16" i="1"/>
  <c r="F17" i="1"/>
  <c r="F18" i="1"/>
  <c r="F22" i="1"/>
  <c r="F25" i="1"/>
  <c r="F29" i="1"/>
  <c r="F26" i="1" s="1"/>
  <c r="F30" i="1"/>
  <c r="F36" i="1"/>
  <c r="F38" i="1"/>
  <c r="F40" i="1"/>
  <c r="F41" i="1"/>
  <c r="F42" i="1"/>
  <c r="F44" i="1"/>
  <c r="F45" i="1"/>
  <c r="F46" i="1"/>
  <c r="F47" i="1"/>
  <c r="F48" i="1"/>
  <c r="F49" i="1"/>
  <c r="F51" i="1"/>
  <c r="F54" i="1"/>
  <c r="F57" i="1"/>
  <c r="D12" i="1" l="1"/>
  <c r="D11" i="1" l="1"/>
  <c r="D53" i="1" s="1"/>
  <c r="D56" i="1" s="1"/>
  <c r="D60" i="1" s="1"/>
  <c r="N15" i="5"/>
  <c r="I45" i="5"/>
  <c r="R15" i="5"/>
  <c r="R16" i="5"/>
  <c r="R17" i="5"/>
  <c r="R19" i="5"/>
  <c r="R20" i="5"/>
  <c r="R21" i="5"/>
  <c r="R31" i="5"/>
  <c r="R44" i="5"/>
  <c r="R45" i="5"/>
  <c r="R47" i="5"/>
  <c r="R48" i="5"/>
  <c r="R49" i="5"/>
  <c r="R50" i="5"/>
  <c r="R51" i="5"/>
  <c r="R57" i="5"/>
  <c r="R58" i="5"/>
  <c r="R59" i="5"/>
  <c r="R60" i="5"/>
  <c r="P15" i="5"/>
  <c r="P16" i="5"/>
  <c r="P17" i="5"/>
  <c r="P19" i="5"/>
  <c r="P20" i="5"/>
  <c r="P21" i="5"/>
  <c r="P31" i="5"/>
  <c r="P44" i="5"/>
  <c r="P45" i="5"/>
  <c r="P47" i="5"/>
  <c r="P48" i="5"/>
  <c r="P49" i="5"/>
  <c r="P50" i="5"/>
  <c r="P51" i="5"/>
  <c r="P57" i="5"/>
  <c r="P58" i="5"/>
  <c r="P59" i="5"/>
  <c r="P60" i="5"/>
  <c r="N16" i="5"/>
  <c r="N17" i="5"/>
  <c r="N19" i="5"/>
  <c r="N20" i="5"/>
  <c r="N21" i="5"/>
  <c r="N31" i="5"/>
  <c r="N44" i="5"/>
  <c r="N45" i="5"/>
  <c r="N47" i="5"/>
  <c r="N48" i="5"/>
  <c r="N49" i="5"/>
  <c r="N50" i="5"/>
  <c r="N51" i="5"/>
  <c r="N57" i="5"/>
  <c r="N58" i="5"/>
  <c r="N59" i="5"/>
  <c r="N60" i="5"/>
  <c r="L15" i="5"/>
  <c r="L16" i="5"/>
  <c r="L17" i="5"/>
  <c r="L18" i="5"/>
  <c r="L19" i="5"/>
  <c r="L20" i="5"/>
  <c r="L21" i="5"/>
  <c r="L31" i="5"/>
  <c r="L44" i="5"/>
  <c r="L45" i="5"/>
  <c r="L47" i="5"/>
  <c r="L48" i="5"/>
  <c r="L49" i="5"/>
  <c r="L50" i="5"/>
  <c r="L51" i="5"/>
  <c r="L57" i="5"/>
  <c r="L58" i="5"/>
  <c r="L59" i="5"/>
  <c r="L60" i="5"/>
  <c r="L62" i="5"/>
  <c r="L63" i="5"/>
  <c r="I21" i="5"/>
  <c r="I23" i="5"/>
  <c r="I24" i="5"/>
  <c r="I35" i="5"/>
  <c r="I37" i="5"/>
  <c r="I38" i="5"/>
  <c r="I58" i="5"/>
  <c r="I59" i="5"/>
  <c r="I60" i="5"/>
  <c r="I62" i="5"/>
  <c r="I63" i="5"/>
  <c r="I64" i="5"/>
  <c r="G15" i="5"/>
  <c r="G16" i="5"/>
  <c r="G17" i="5"/>
  <c r="G18" i="5"/>
  <c r="G19" i="5"/>
  <c r="G20" i="5"/>
  <c r="G21" i="5"/>
  <c r="G23" i="5"/>
  <c r="G24" i="5"/>
  <c r="G31" i="5"/>
  <c r="G44" i="5"/>
  <c r="G45" i="5"/>
  <c r="G47" i="5"/>
  <c r="G48" i="5"/>
  <c r="G49" i="5"/>
  <c r="G50" i="5"/>
  <c r="G51" i="5"/>
  <c r="G57" i="5"/>
  <c r="G58" i="5"/>
  <c r="G59" i="5"/>
  <c r="G60" i="5"/>
  <c r="Q18" i="4"/>
  <c r="Q20" i="4"/>
  <c r="Q23" i="4"/>
  <c r="Q28" i="4"/>
  <c r="Q31" i="4"/>
  <c r="Q34" i="4"/>
  <c r="Q41" i="4"/>
  <c r="Q42" i="4"/>
  <c r="Q43" i="4"/>
  <c r="Q46" i="4"/>
  <c r="Q47" i="4"/>
  <c r="Q49" i="4"/>
  <c r="Q50" i="4"/>
  <c r="Q51" i="4"/>
  <c r="Q52" i="4"/>
  <c r="Q61" i="4"/>
  <c r="Q63" i="4"/>
  <c r="Q64" i="4"/>
  <c r="Q65" i="4"/>
  <c r="Q66" i="4"/>
  <c r="O18" i="4"/>
  <c r="O20" i="4"/>
  <c r="O23" i="4"/>
  <c r="O28" i="4"/>
  <c r="O31" i="4"/>
  <c r="O34" i="4"/>
  <c r="O41" i="4"/>
  <c r="O42" i="4"/>
  <c r="O43" i="4"/>
  <c r="O46" i="4"/>
  <c r="O47" i="4"/>
  <c r="O49" i="4"/>
  <c r="O50" i="4"/>
  <c r="O51" i="4"/>
  <c r="O52" i="4"/>
  <c r="O61" i="4"/>
  <c r="O63" i="4"/>
  <c r="O64" i="4"/>
  <c r="O65" i="4"/>
  <c r="O66" i="4"/>
  <c r="M18" i="4"/>
  <c r="M20" i="4"/>
  <c r="M23" i="4"/>
  <c r="M28" i="4"/>
  <c r="M31" i="4"/>
  <c r="M34" i="4"/>
  <c r="M41" i="4"/>
  <c r="M42" i="4"/>
  <c r="M43" i="4"/>
  <c r="M46" i="4"/>
  <c r="M47" i="4"/>
  <c r="M49" i="4"/>
  <c r="M50" i="4"/>
  <c r="M51" i="4"/>
  <c r="M52" i="4"/>
  <c r="M61" i="4"/>
  <c r="M63" i="4"/>
  <c r="M64" i="4"/>
  <c r="M65" i="4"/>
  <c r="M66" i="4"/>
  <c r="K18" i="4"/>
  <c r="K20" i="4"/>
  <c r="K23" i="4"/>
  <c r="K28" i="4"/>
  <c r="K31" i="4"/>
  <c r="K34" i="4"/>
  <c r="K41" i="4"/>
  <c r="K42" i="4"/>
  <c r="K43" i="4"/>
  <c r="K46" i="4"/>
  <c r="K47" i="4"/>
  <c r="K49" i="4"/>
  <c r="K50" i="4"/>
  <c r="K51" i="4"/>
  <c r="K52" i="4"/>
  <c r="K61" i="4"/>
  <c r="K63" i="4"/>
  <c r="K64" i="4"/>
  <c r="K65" i="4"/>
  <c r="K66" i="4"/>
  <c r="H22" i="4"/>
  <c r="H53" i="4"/>
  <c r="H55" i="4"/>
  <c r="H56" i="4"/>
  <c r="H64" i="4"/>
  <c r="H65" i="4"/>
  <c r="P15" i="1"/>
  <c r="P16" i="1"/>
  <c r="P18" i="1"/>
  <c r="P22" i="1"/>
  <c r="P25" i="1"/>
  <c r="P29" i="1"/>
  <c r="P30" i="1"/>
  <c r="P36" i="1"/>
  <c r="P38" i="1"/>
  <c r="P41" i="1"/>
  <c r="P42" i="1"/>
  <c r="P44" i="1"/>
  <c r="P45" i="1"/>
  <c r="P46" i="1"/>
  <c r="P47" i="1"/>
  <c r="P48" i="1"/>
  <c r="P49" i="1"/>
  <c r="P51" i="1"/>
  <c r="P54" i="1"/>
  <c r="P57" i="1"/>
  <c r="N15" i="1"/>
  <c r="N16" i="1"/>
  <c r="N18" i="1"/>
  <c r="N22" i="1"/>
  <c r="N25" i="1"/>
  <c r="N29" i="1"/>
  <c r="N30" i="1"/>
  <c r="N36" i="1"/>
  <c r="N38" i="1"/>
  <c r="N41" i="1"/>
  <c r="N42" i="1"/>
  <c r="N44" i="1"/>
  <c r="N45" i="1"/>
  <c r="N46" i="1"/>
  <c r="N47" i="1"/>
  <c r="N48" i="1"/>
  <c r="N49" i="1"/>
  <c r="N51" i="1"/>
  <c r="N54" i="1"/>
  <c r="N57" i="1"/>
  <c r="L15" i="1"/>
  <c r="L16" i="1"/>
  <c r="L18" i="1"/>
  <c r="L22" i="1"/>
  <c r="L25" i="1"/>
  <c r="L29" i="1"/>
  <c r="L30" i="1"/>
  <c r="L36" i="1"/>
  <c r="L38" i="1"/>
  <c r="L41" i="1"/>
  <c r="L42" i="1"/>
  <c r="L44" i="1"/>
  <c r="L45" i="1"/>
  <c r="L46" i="1"/>
  <c r="L47" i="1"/>
  <c r="L48" i="1"/>
  <c r="L49" i="1"/>
  <c r="L51" i="1"/>
  <c r="L54" i="1"/>
  <c r="L57" i="1"/>
  <c r="J15" i="1"/>
  <c r="J16" i="1"/>
  <c r="J18" i="1"/>
  <c r="J22" i="1"/>
  <c r="J25" i="1"/>
  <c r="J29" i="1"/>
  <c r="J30" i="1"/>
  <c r="J36" i="1"/>
  <c r="J38" i="1"/>
  <c r="J41" i="1"/>
  <c r="J42" i="1"/>
  <c r="J44" i="1"/>
  <c r="J45" i="1"/>
  <c r="J46" i="1"/>
  <c r="J47" i="1"/>
  <c r="J48" i="1"/>
  <c r="J49" i="1"/>
  <c r="J51" i="1"/>
  <c r="J54" i="1"/>
  <c r="J57" i="1"/>
  <c r="E36" i="1"/>
  <c r="E14" i="1"/>
  <c r="E15" i="1"/>
  <c r="E16" i="1"/>
  <c r="E17" i="1"/>
  <c r="E18" i="1"/>
  <c r="E20" i="1"/>
  <c r="E21" i="1"/>
  <c r="E22" i="1"/>
  <c r="E25" i="1"/>
  <c r="E29" i="1"/>
  <c r="E30" i="1"/>
  <c r="E37" i="1"/>
  <c r="E38" i="1"/>
  <c r="E41" i="1"/>
  <c r="E42" i="1"/>
  <c r="E43" i="1"/>
  <c r="E44" i="1"/>
  <c r="E45" i="1"/>
  <c r="E46" i="1"/>
  <c r="E47" i="1"/>
  <c r="E48" i="1"/>
  <c r="E49" i="1"/>
  <c r="E50" i="1"/>
  <c r="E51" i="1"/>
  <c r="E54" i="1"/>
  <c r="E57" i="1"/>
  <c r="I37" i="1"/>
  <c r="K37" i="1"/>
  <c r="M37" i="1"/>
  <c r="O37" i="1"/>
  <c r="H37" i="1"/>
  <c r="M26" i="1"/>
  <c r="S31" i="1"/>
  <c r="T31" i="1"/>
  <c r="U31" i="1"/>
  <c r="R31" i="1"/>
  <c r="I50" i="1"/>
  <c r="K50" i="1"/>
  <c r="M50" i="1"/>
  <c r="O50" i="1"/>
  <c r="H50" i="1"/>
  <c r="K43" i="1"/>
  <c r="I43" i="1"/>
  <c r="M43" i="1"/>
  <c r="N43" i="1" s="1"/>
  <c r="O43" i="1"/>
  <c r="H43" i="1"/>
  <c r="I26" i="4"/>
  <c r="G63" i="4"/>
  <c r="O14" i="1"/>
  <c r="M14" i="1"/>
  <c r="K14" i="1"/>
  <c r="I14" i="1"/>
  <c r="H14" i="1"/>
  <c r="I26" i="1"/>
  <c r="H57" i="5"/>
  <c r="L17" i="1"/>
  <c r="R18" i="5"/>
  <c r="J23" i="5"/>
  <c r="H20" i="1"/>
  <c r="O26" i="1"/>
  <c r="P26" i="1" s="1"/>
  <c r="K26" i="1"/>
  <c r="H26" i="1"/>
  <c r="O23" i="1"/>
  <c r="M23" i="1"/>
  <c r="K23" i="1"/>
  <c r="I23" i="1"/>
  <c r="H23" i="1"/>
  <c r="G66" i="4"/>
  <c r="G60" i="4"/>
  <c r="G57" i="4"/>
  <c r="G52" i="4"/>
  <c r="G51" i="4"/>
  <c r="G50" i="4"/>
  <c r="G49" i="4"/>
  <c r="G48" i="4"/>
  <c r="G47" i="4"/>
  <c r="G46" i="4"/>
  <c r="P44" i="4"/>
  <c r="P39" i="4" s="1"/>
  <c r="P37" i="4" s="1"/>
  <c r="N44" i="4"/>
  <c r="N39" i="4" s="1"/>
  <c r="N37" i="4" s="1"/>
  <c r="L44" i="4"/>
  <c r="L39" i="4" s="1"/>
  <c r="L37" i="4" s="1"/>
  <c r="J44" i="4"/>
  <c r="J39" i="4" s="1"/>
  <c r="J37" i="4" s="1"/>
  <c r="I44" i="4"/>
  <c r="G43" i="4"/>
  <c r="G42" i="4"/>
  <c r="G41" i="4"/>
  <c r="G35" i="4"/>
  <c r="G34" i="4"/>
  <c r="P32" i="4"/>
  <c r="N32" i="4"/>
  <c r="L32" i="4"/>
  <c r="M32" i="4" s="1"/>
  <c r="J32" i="4"/>
  <c r="I32" i="4"/>
  <c r="G31" i="4"/>
  <c r="P29" i="4"/>
  <c r="N29" i="4"/>
  <c r="L29" i="4"/>
  <c r="J29" i="4"/>
  <c r="I29" i="4"/>
  <c r="G28" i="4"/>
  <c r="G23" i="4"/>
  <c r="G20" i="4"/>
  <c r="G18" i="4"/>
  <c r="P16" i="4"/>
  <c r="N16" i="4"/>
  <c r="L16" i="4"/>
  <c r="J16" i="4"/>
  <c r="I16" i="4"/>
  <c r="H15" i="5"/>
  <c r="H47" i="5"/>
  <c r="H44" i="5"/>
  <c r="Q40" i="5"/>
  <c r="Q39" i="5" s="1"/>
  <c r="O40" i="5"/>
  <c r="O39" i="5" s="1"/>
  <c r="M40" i="5"/>
  <c r="M39" i="5" s="1"/>
  <c r="K40" i="5"/>
  <c r="K39" i="5" s="1"/>
  <c r="J40" i="5"/>
  <c r="Q28" i="5"/>
  <c r="O28" i="5"/>
  <c r="M28" i="5"/>
  <c r="N28" i="5" s="1"/>
  <c r="K28" i="5"/>
  <c r="J28" i="5"/>
  <c r="H28" i="5"/>
  <c r="H20" i="5"/>
  <c r="H19" i="5"/>
  <c r="H17" i="5"/>
  <c r="H16" i="5"/>
  <c r="J13" i="5"/>
  <c r="F44" i="5"/>
  <c r="E44" i="5"/>
  <c r="V16" i="4" l="1"/>
  <c r="F23" i="1"/>
  <c r="F14" i="1"/>
  <c r="F12" i="1" s="1"/>
  <c r="R28" i="5"/>
  <c r="F43" i="1"/>
  <c r="F37" i="1"/>
  <c r="F50" i="1"/>
  <c r="I16" i="5"/>
  <c r="I19" i="5"/>
  <c r="I28" i="5"/>
  <c r="J39" i="5"/>
  <c r="I47" i="5"/>
  <c r="J24" i="5"/>
  <c r="I20" i="5"/>
  <c r="P39" i="5"/>
  <c r="H40" i="5"/>
  <c r="I15" i="5"/>
  <c r="I57" i="5"/>
  <c r="H18" i="4"/>
  <c r="H23" i="4"/>
  <c r="H35" i="4"/>
  <c r="H42" i="4"/>
  <c r="I39" i="4"/>
  <c r="H49" i="4"/>
  <c r="H51" i="4"/>
  <c r="H57" i="4"/>
  <c r="H66" i="4"/>
  <c r="I27" i="4"/>
  <c r="H20" i="4"/>
  <c r="H28" i="4"/>
  <c r="H31" i="4"/>
  <c r="H34" i="4"/>
  <c r="H41" i="4"/>
  <c r="H43" i="4"/>
  <c r="H46" i="4"/>
  <c r="H50" i="4"/>
  <c r="H63" i="4"/>
  <c r="G16" i="1"/>
  <c r="G22" i="1"/>
  <c r="G25" i="1"/>
  <c r="G29" i="1"/>
  <c r="G38" i="1"/>
  <c r="G44" i="1"/>
  <c r="H21" i="1"/>
  <c r="G30" i="1"/>
  <c r="G18" i="1"/>
  <c r="G36" i="1"/>
  <c r="G45" i="1"/>
  <c r="G57" i="1"/>
  <c r="L43" i="1"/>
  <c r="P50" i="1"/>
  <c r="G28" i="5"/>
  <c r="Q37" i="4"/>
  <c r="Q32" i="4"/>
  <c r="M29" i="4"/>
  <c r="Q29" i="4"/>
  <c r="P37" i="1"/>
  <c r="G39" i="5"/>
  <c r="L28" i="5"/>
  <c r="P28" i="5"/>
  <c r="N39" i="5"/>
  <c r="R39" i="5"/>
  <c r="M16" i="4"/>
  <c r="K29" i="4"/>
  <c r="K32" i="4"/>
  <c r="P23" i="1"/>
  <c r="N14" i="1"/>
  <c r="P18" i="5"/>
  <c r="N18" i="5"/>
  <c r="K16" i="4"/>
  <c r="Q16" i="4"/>
  <c r="L50" i="1"/>
  <c r="L37" i="1"/>
  <c r="N26" i="1"/>
  <c r="L23" i="1"/>
  <c r="J14" i="1"/>
  <c r="J23" i="1"/>
  <c r="P14" i="1"/>
  <c r="P43" i="1"/>
  <c r="J50" i="1"/>
  <c r="J37" i="1"/>
  <c r="J26" i="1"/>
  <c r="J17" i="1"/>
  <c r="N23" i="1"/>
  <c r="L26" i="1"/>
  <c r="L14" i="1"/>
  <c r="J43" i="1"/>
  <c r="N50" i="1"/>
  <c r="N37" i="1"/>
  <c r="Q44" i="4"/>
  <c r="Q39" i="4"/>
  <c r="O37" i="4"/>
  <c r="M37" i="4"/>
  <c r="O32" i="4"/>
  <c r="O29" i="4"/>
  <c r="O16" i="4"/>
  <c r="L39" i="5"/>
  <c r="N40" i="5"/>
  <c r="P40" i="5"/>
  <c r="L40" i="5"/>
  <c r="G40" i="5"/>
  <c r="I40" i="5"/>
  <c r="R40" i="5"/>
  <c r="J11" i="5"/>
  <c r="K23" i="5"/>
  <c r="G11" i="5"/>
  <c r="G13" i="5"/>
  <c r="O44" i="4"/>
  <c r="O39" i="4"/>
  <c r="M44" i="4"/>
  <c r="M39" i="4"/>
  <c r="K44" i="4"/>
  <c r="K39" i="4"/>
  <c r="G16" i="4"/>
  <c r="G32" i="4"/>
  <c r="I39" i="1"/>
  <c r="O39" i="1"/>
  <c r="I20" i="1"/>
  <c r="G53" i="5"/>
  <c r="K24" i="5"/>
  <c r="L24" i="5" s="1"/>
  <c r="I24" i="4"/>
  <c r="J26" i="4"/>
  <c r="K26" i="4" s="1"/>
  <c r="K39" i="1"/>
  <c r="I12" i="1"/>
  <c r="J12" i="1" s="1"/>
  <c r="M39" i="1"/>
  <c r="H19" i="1"/>
  <c r="G44" i="4"/>
  <c r="H39" i="1"/>
  <c r="K12" i="1"/>
  <c r="G29" i="4"/>
  <c r="M13" i="5"/>
  <c r="K13" i="5"/>
  <c r="L12" i="1" l="1"/>
  <c r="F39" i="1"/>
  <c r="F34" i="1" s="1"/>
  <c r="F32" i="1" s="1"/>
  <c r="J53" i="5"/>
  <c r="H39" i="5"/>
  <c r="H29" i="4"/>
  <c r="H32" i="4"/>
  <c r="I15" i="4"/>
  <c r="H16" i="4"/>
  <c r="I37" i="4"/>
  <c r="H34" i="1"/>
  <c r="G23" i="1"/>
  <c r="G37" i="1"/>
  <c r="G26" i="1"/>
  <c r="G14" i="1"/>
  <c r="N17" i="1"/>
  <c r="M23" i="5"/>
  <c r="L23" i="5"/>
  <c r="M11" i="5"/>
  <c r="N13" i="5"/>
  <c r="K11" i="5"/>
  <c r="L13" i="5"/>
  <c r="M34" i="1"/>
  <c r="N39" i="1"/>
  <c r="O34" i="1"/>
  <c r="P39" i="1"/>
  <c r="K34" i="1"/>
  <c r="L39" i="1"/>
  <c r="I21" i="1"/>
  <c r="J21" i="1" s="1"/>
  <c r="J20" i="1"/>
  <c r="G39" i="4"/>
  <c r="H44" i="4"/>
  <c r="I34" i="1"/>
  <c r="J39" i="1"/>
  <c r="K20" i="1"/>
  <c r="L26" i="4"/>
  <c r="M26" i="4" s="1"/>
  <c r="J27" i="4"/>
  <c r="K27" i="4" s="1"/>
  <c r="M12" i="1"/>
  <c r="N12" i="1" s="1"/>
  <c r="Q13" i="5"/>
  <c r="O13" i="5"/>
  <c r="H18" i="5"/>
  <c r="V15" i="4" l="1"/>
  <c r="I39" i="5"/>
  <c r="J56" i="5"/>
  <c r="K37" i="4"/>
  <c r="I59" i="4"/>
  <c r="H32" i="1"/>
  <c r="J24" i="4"/>
  <c r="O12" i="1"/>
  <c r="P12" i="1" s="1"/>
  <c r="P17" i="1"/>
  <c r="E19" i="1"/>
  <c r="I19" i="1"/>
  <c r="J19" i="1" s="1"/>
  <c r="N23" i="5"/>
  <c r="M24" i="5"/>
  <c r="N24" i="5" s="1"/>
  <c r="O23" i="5"/>
  <c r="Q11" i="5"/>
  <c r="R13" i="5"/>
  <c r="M53" i="5"/>
  <c r="N11" i="5"/>
  <c r="O11" i="5"/>
  <c r="P13" i="5"/>
  <c r="G56" i="5"/>
  <c r="K53" i="5"/>
  <c r="L11" i="5"/>
  <c r="E39" i="1"/>
  <c r="K32" i="1"/>
  <c r="L34" i="1"/>
  <c r="M32" i="1"/>
  <c r="N32" i="1" s="1"/>
  <c r="N34" i="1"/>
  <c r="O32" i="1"/>
  <c r="P34" i="1"/>
  <c r="E26" i="1"/>
  <c r="E23" i="1"/>
  <c r="M20" i="1"/>
  <c r="N20" i="1" s="1"/>
  <c r="L20" i="1"/>
  <c r="I11" i="1"/>
  <c r="J11" i="1" s="1"/>
  <c r="E12" i="1"/>
  <c r="H13" i="5"/>
  <c r="I18" i="5"/>
  <c r="J15" i="4"/>
  <c r="K24" i="4"/>
  <c r="G37" i="4"/>
  <c r="H39" i="4"/>
  <c r="I32" i="1"/>
  <c r="J34" i="1"/>
  <c r="G17" i="1"/>
  <c r="K21" i="1"/>
  <c r="G39" i="1"/>
  <c r="N26" i="4"/>
  <c r="O26" i="4" s="1"/>
  <c r="L27" i="4"/>
  <c r="M27" i="4" s="1"/>
  <c r="V59" i="4" l="1"/>
  <c r="J61" i="5"/>
  <c r="H37" i="4"/>
  <c r="I62" i="4"/>
  <c r="G12" i="1"/>
  <c r="H53" i="1"/>
  <c r="M21" i="1"/>
  <c r="N21" i="1" s="1"/>
  <c r="O20" i="1"/>
  <c r="P20" i="1" s="1"/>
  <c r="P23" i="5"/>
  <c r="O24" i="5"/>
  <c r="P24" i="5" s="1"/>
  <c r="Q23" i="5"/>
  <c r="O53" i="5"/>
  <c r="P11" i="5"/>
  <c r="K56" i="5"/>
  <c r="L53" i="5"/>
  <c r="G61" i="5"/>
  <c r="M56" i="5"/>
  <c r="N53" i="5"/>
  <c r="Q53" i="5"/>
  <c r="R11" i="5"/>
  <c r="E34" i="1"/>
  <c r="P32" i="1"/>
  <c r="L32" i="1"/>
  <c r="M19" i="1"/>
  <c r="K19" i="1"/>
  <c r="L21" i="1"/>
  <c r="E11" i="1"/>
  <c r="H11" i="5"/>
  <c r="I13" i="5"/>
  <c r="J59" i="4"/>
  <c r="K15" i="4"/>
  <c r="J32" i="1"/>
  <c r="I53" i="1"/>
  <c r="G34" i="1"/>
  <c r="P26" i="4"/>
  <c r="N27" i="4"/>
  <c r="O27" i="4" s="1"/>
  <c r="L24" i="4"/>
  <c r="O21" i="1"/>
  <c r="V62" i="4" l="1"/>
  <c r="V67" i="4"/>
  <c r="Z53" i="1"/>
  <c r="F20" i="1"/>
  <c r="F19" i="1" s="1"/>
  <c r="F11" i="1" s="1"/>
  <c r="F53" i="1" s="1"/>
  <c r="F56" i="1" s="1"/>
  <c r="F60" i="1" s="1"/>
  <c r="F21" i="1"/>
  <c r="I67" i="4"/>
  <c r="G32" i="1"/>
  <c r="H56" i="1"/>
  <c r="G26" i="4"/>
  <c r="Q26" i="4"/>
  <c r="Q24" i="5"/>
  <c r="R24" i="5" s="1"/>
  <c r="R23" i="5"/>
  <c r="Q56" i="5"/>
  <c r="R53" i="5"/>
  <c r="O56" i="5"/>
  <c r="P53" i="5"/>
  <c r="M61" i="5"/>
  <c r="N56" i="5"/>
  <c r="K61" i="5"/>
  <c r="L61" i="5" s="1"/>
  <c r="L56" i="5"/>
  <c r="E32" i="1"/>
  <c r="O19" i="1"/>
  <c r="P21" i="1"/>
  <c r="K11" i="1"/>
  <c r="L19" i="1"/>
  <c r="M11" i="1"/>
  <c r="N19" i="1"/>
  <c r="H53" i="5"/>
  <c r="I11" i="5"/>
  <c r="L15" i="4"/>
  <c r="M24" i="4"/>
  <c r="J62" i="4"/>
  <c r="K59" i="4"/>
  <c r="J53" i="1"/>
  <c r="I56" i="1"/>
  <c r="P27" i="4"/>
  <c r="G27" i="4" s="1"/>
  <c r="N24" i="4"/>
  <c r="Z56" i="1" l="1"/>
  <c r="Z60" i="1"/>
  <c r="G20" i="1"/>
  <c r="H26" i="4"/>
  <c r="G21" i="1"/>
  <c r="H60" i="1"/>
  <c r="E56" i="1"/>
  <c r="E53" i="1"/>
  <c r="P24" i="4"/>
  <c r="Q27" i="4"/>
  <c r="O61" i="5"/>
  <c r="P61" i="5" s="1"/>
  <c r="P56" i="5"/>
  <c r="Q61" i="5"/>
  <c r="R56" i="5"/>
  <c r="N61" i="5"/>
  <c r="K53" i="1"/>
  <c r="L11" i="1"/>
  <c r="N11" i="1"/>
  <c r="M53" i="1"/>
  <c r="O11" i="1"/>
  <c r="P19" i="1"/>
  <c r="H56" i="5"/>
  <c r="I53" i="5"/>
  <c r="J67" i="4"/>
  <c r="K67" i="4" s="1"/>
  <c r="K62" i="4"/>
  <c r="L59" i="4"/>
  <c r="M15" i="4"/>
  <c r="N15" i="4"/>
  <c r="O24" i="4"/>
  <c r="G24" i="4"/>
  <c r="H27" i="4"/>
  <c r="I60" i="1"/>
  <c r="J60" i="1" s="1"/>
  <c r="J56" i="1"/>
  <c r="R61" i="5" l="1"/>
  <c r="P15" i="4"/>
  <c r="P59" i="4" s="1"/>
  <c r="P62" i="4" s="1"/>
  <c r="Q24" i="4"/>
  <c r="M56" i="1"/>
  <c r="N53" i="1"/>
  <c r="P11" i="1"/>
  <c r="O53" i="1"/>
  <c r="L53" i="1"/>
  <c r="K56" i="1"/>
  <c r="E60" i="1"/>
  <c r="H61" i="5"/>
  <c r="I56" i="5"/>
  <c r="L62" i="4"/>
  <c r="M59" i="4"/>
  <c r="N59" i="4"/>
  <c r="O15" i="4"/>
  <c r="G15" i="4"/>
  <c r="H24" i="4"/>
  <c r="G19" i="1"/>
  <c r="Q59" i="4" l="1"/>
  <c r="Q15" i="4"/>
  <c r="P67" i="4"/>
  <c r="L56" i="1"/>
  <c r="K60" i="1"/>
  <c r="L60" i="1" s="1"/>
  <c r="P53" i="1"/>
  <c r="O56" i="1"/>
  <c r="M60" i="1"/>
  <c r="N56" i="1"/>
  <c r="H70" i="5"/>
  <c r="I61" i="5"/>
  <c r="N62" i="4"/>
  <c r="Q62" i="4" s="1"/>
  <c r="O59" i="4"/>
  <c r="L67" i="4"/>
  <c r="M67" i="4" s="1"/>
  <c r="M62" i="4"/>
  <c r="G59" i="4"/>
  <c r="H15" i="4"/>
  <c r="G11" i="1"/>
  <c r="O60" i="1" l="1"/>
  <c r="P60" i="1" s="1"/>
  <c r="P56" i="1"/>
  <c r="N60" i="1"/>
  <c r="N67" i="4"/>
  <c r="O67" i="4" s="1"/>
  <c r="O62" i="4"/>
  <c r="G62" i="4"/>
  <c r="H59" i="4"/>
  <c r="G53" i="1"/>
  <c r="G67" i="4" l="1"/>
  <c r="Q67" i="4"/>
  <c r="H62" i="4"/>
  <c r="G56" i="1"/>
  <c r="H67" i="4" l="1"/>
  <c r="G60" i="1"/>
</calcChain>
</file>

<file path=xl/sharedStrings.xml><?xml version="1.0" encoding="utf-8"?>
<sst xmlns="http://schemas.openxmlformats.org/spreadsheetml/2006/main" count="439" uniqueCount="141">
  <si>
    <t>№</t>
  </si>
  <si>
    <t>Наименование показателей</t>
  </si>
  <si>
    <t>Ед. изм.</t>
  </si>
  <si>
    <t>Принято в действующей тарифной смете</t>
  </si>
  <si>
    <t>Фактические показатели за предшествующий законченный 2014 год</t>
  </si>
  <si>
    <t>Фактические показатели за предшествующие 4 законченных квартала</t>
  </si>
  <si>
    <t>за весь период реализации проекта, в том числе</t>
  </si>
  <si>
    <t>2016 год</t>
  </si>
  <si>
    <t>2017 год</t>
  </si>
  <si>
    <t>2018 год</t>
  </si>
  <si>
    <t>2019 год</t>
  </si>
  <si>
    <t xml:space="preserve">I </t>
  </si>
  <si>
    <t>Затраты на производство товаров и предоставление услуг, всего, в том числе:</t>
  </si>
  <si>
    <t>тыс.тенге</t>
  </si>
  <si>
    <t xml:space="preserve">материальные затраты, всего, </t>
  </si>
  <si>
    <t>в т.ч.</t>
  </si>
  <si>
    <t>-</t>
  </si>
  <si>
    <t xml:space="preserve">Сырье и материалы </t>
  </si>
  <si>
    <t>покупные изделия (холодная вода)</t>
  </si>
  <si>
    <t xml:space="preserve">ГСМ </t>
  </si>
  <si>
    <t>топливо (природный газ)</t>
  </si>
  <si>
    <t xml:space="preserve">Энергия </t>
  </si>
  <si>
    <t xml:space="preserve">Расходы на оплату труда, всего, в том числе: </t>
  </si>
  <si>
    <t xml:space="preserve">заработная плата производственного персонала </t>
  </si>
  <si>
    <t xml:space="preserve">социальный налог </t>
  </si>
  <si>
    <t>Амортизация</t>
  </si>
  <si>
    <t xml:space="preserve">Ремонт, всего, </t>
  </si>
  <si>
    <t xml:space="preserve">в том числе: </t>
  </si>
  <si>
    <t xml:space="preserve">Капитальный ремонт, не приводящий к увеличению стоимости основных фондов </t>
  </si>
  <si>
    <t xml:space="preserve">Прочие затраты </t>
  </si>
  <si>
    <t xml:space="preserve">приобретение насосов и вентиляторов </t>
  </si>
  <si>
    <t>спец.одежда, средства защиты, спец.молоко</t>
  </si>
  <si>
    <t xml:space="preserve">Услуги сторонних организаций производственного характера </t>
  </si>
  <si>
    <t xml:space="preserve">Налоги </t>
  </si>
  <si>
    <t xml:space="preserve">II </t>
  </si>
  <si>
    <t>Расходы периода всего,</t>
  </si>
  <si>
    <t xml:space="preserve">Общие и административные расходы, всего: </t>
  </si>
  <si>
    <t xml:space="preserve">Заработная плата административного персонала </t>
  </si>
  <si>
    <t xml:space="preserve">Прочие расходы </t>
  </si>
  <si>
    <t>Командировочные расходы</t>
  </si>
  <si>
    <t>Услуги связи и информационные услуги</t>
  </si>
  <si>
    <t>Услуги банка</t>
  </si>
  <si>
    <t>Коммунальные услуги</t>
  </si>
  <si>
    <t>Аудиторская услуги</t>
  </si>
  <si>
    <t>Периодическая печать</t>
  </si>
  <si>
    <t xml:space="preserve">Содержание служебного автотранспорта </t>
  </si>
  <si>
    <t xml:space="preserve">Расходы на канц.товары и компьютерное обслуживание </t>
  </si>
  <si>
    <t>Расходы на обучение персоналов</t>
  </si>
  <si>
    <t xml:space="preserve">Расходы на выплату вознаграждений </t>
  </si>
  <si>
    <t xml:space="preserve">III </t>
  </si>
  <si>
    <t xml:space="preserve">Всего затрат на предоставление услуг </t>
  </si>
  <si>
    <t xml:space="preserve">IV </t>
  </si>
  <si>
    <t>Доход (РБА*СП)</t>
  </si>
  <si>
    <t xml:space="preserve">V </t>
  </si>
  <si>
    <t xml:space="preserve">Регулируемая база задействованных активов (РБА). </t>
  </si>
  <si>
    <t xml:space="preserve">VI </t>
  </si>
  <si>
    <t xml:space="preserve">Всего доходов </t>
  </si>
  <si>
    <t xml:space="preserve">VII </t>
  </si>
  <si>
    <t xml:space="preserve">Объем оказываемых услуг (товаров, работ) </t>
  </si>
  <si>
    <t>тыс. Гкал</t>
  </si>
  <si>
    <t xml:space="preserve">VIII </t>
  </si>
  <si>
    <t xml:space="preserve">Нормативные технические потери </t>
  </si>
  <si>
    <t xml:space="preserve">% </t>
  </si>
  <si>
    <t xml:space="preserve">IX </t>
  </si>
  <si>
    <t>Тариф утвержденный\средневзвешенный</t>
  </si>
  <si>
    <t>тенге/Гкал</t>
  </si>
  <si>
    <t>Тариф, фактически сложившийся</t>
  </si>
  <si>
    <t>рост проектируемого тарифа</t>
  </si>
  <si>
    <t>%</t>
  </si>
  <si>
    <t>рост фактически сложившегося тарифа</t>
  </si>
  <si>
    <t>Расходы, связанные с природоохранной деятельностью</t>
  </si>
  <si>
    <t xml:space="preserve">тыс.тенге </t>
  </si>
  <si>
    <t xml:space="preserve">покупные изделия </t>
  </si>
  <si>
    <t xml:space="preserve">топливо </t>
  </si>
  <si>
    <t>Затраты на компенсацию нормативных технических потерь</t>
  </si>
  <si>
    <t xml:space="preserve">в т. ч. </t>
  </si>
  <si>
    <t xml:space="preserve">Расходы периода </t>
  </si>
  <si>
    <t xml:space="preserve">всего, в т.ч. </t>
  </si>
  <si>
    <t xml:space="preserve">(расшифровать) </t>
  </si>
  <si>
    <t>Услуги связи и информационные услуги (установка прогр.1С)</t>
  </si>
  <si>
    <t>расходы на обучение персоналов</t>
  </si>
  <si>
    <t xml:space="preserve">аренда зданий </t>
  </si>
  <si>
    <t>аренда автотранспорта</t>
  </si>
  <si>
    <t>коммунальные услуги</t>
  </si>
  <si>
    <t>приобретение офисной мебели</t>
  </si>
  <si>
    <t>расходы на канц.товары и компьютерное обслуживание</t>
  </si>
  <si>
    <t>Тариф утвержденный\средневзвешенный\проект</t>
  </si>
  <si>
    <t>Фактические показатели за предшествующие 4 законченных квартала 2014 года</t>
  </si>
  <si>
    <t xml:space="preserve">Затраты на производство товаров и предоставление услуг, всего, </t>
  </si>
  <si>
    <t>покупные изделия (покупная вода)</t>
  </si>
  <si>
    <t xml:space="preserve">Расходы на оплату труда, всего, </t>
  </si>
  <si>
    <t xml:space="preserve">Ремонт, всего, в т. ч. </t>
  </si>
  <si>
    <t xml:space="preserve">Прочие затраты (расшифровать) </t>
  </si>
  <si>
    <t>в том числе:</t>
  </si>
  <si>
    <t>Налоговые платежи</t>
  </si>
  <si>
    <t>санитарно-химические анализы</t>
  </si>
  <si>
    <t>услуги связи</t>
  </si>
  <si>
    <t>командировочные расходы</t>
  </si>
  <si>
    <t>подготовка кадров</t>
  </si>
  <si>
    <t>охрана труда и техника безопасности</t>
  </si>
  <si>
    <t>пусконаладочные работы на проведение аттестаций</t>
  </si>
  <si>
    <t>дезинфекция, вывоз мусора и другие коммунальные услуги</t>
  </si>
  <si>
    <t>другие затраты</t>
  </si>
  <si>
    <t xml:space="preserve">Расходы периода всего, в т.ч. </t>
  </si>
  <si>
    <t>услуги сторонних организаций</t>
  </si>
  <si>
    <t>тыс. куб.м</t>
  </si>
  <si>
    <t>в тыс. тенге</t>
  </si>
  <si>
    <t>% рост к действ.</t>
  </si>
  <si>
    <t>2015-2016 % рост к действ.</t>
  </si>
  <si>
    <t>2016-2017 % рост к действ.</t>
  </si>
  <si>
    <t>2017-2018 % рост к действ.</t>
  </si>
  <si>
    <t>%  рост к действ.</t>
  </si>
  <si>
    <t>2018-2019 % рост к действ.</t>
  </si>
  <si>
    <t>2015-2016  % рост к действ.</t>
  </si>
  <si>
    <t>2016-2017  % рост к действ.</t>
  </si>
  <si>
    <t>2017-2018  % рост к действ.</t>
  </si>
  <si>
    <t>2018-2019  % рост к действ.</t>
  </si>
  <si>
    <t>Предусмотрено в утвержденной тарифной смете (01.12.2015г)</t>
  </si>
  <si>
    <t xml:space="preserve">Фактически
сложившиеся
показатели тарифной
сметы
</t>
  </si>
  <si>
    <t xml:space="preserve">Отклонение
в %
</t>
  </si>
  <si>
    <t>с 01.10.2015г.</t>
  </si>
  <si>
    <t>Предусмотрено в утвержденной тарифной смете (01.10.2015г)</t>
  </si>
  <si>
    <t>Отклонение
в %</t>
  </si>
  <si>
    <t>Причины                отклонения</t>
  </si>
  <si>
    <t>Причины             отклонения</t>
  </si>
  <si>
    <r>
      <t xml:space="preserve">Наименование субъекта: </t>
    </r>
    <r>
      <rPr>
        <b/>
        <u/>
        <sz val="11"/>
        <color theme="1"/>
        <rFont val="Times New Roman"/>
        <family val="1"/>
        <charset val="204"/>
      </rPr>
      <t>ГКП "ӨзенЖылу"</t>
    </r>
  </si>
  <si>
    <t xml:space="preserve">                                            производству тепловой энергии за 2015 год.</t>
  </si>
  <si>
    <t>Причины           отклонения</t>
  </si>
  <si>
    <t>Предусмотрено в утвержденной тарифной смете         1-й год реализации (01.10.2015г)</t>
  </si>
  <si>
    <t>Предусмотрено в утвержденной тарифной смете           1-й год реализации (01.10.2015г)</t>
  </si>
  <si>
    <t>Предусмотрено в утвержденной тарифной смете         1-й год реализации (01.12.2015г)</t>
  </si>
  <si>
    <t xml:space="preserve">          Отчет</t>
  </si>
  <si>
    <t xml:space="preserve">                               об исполнении тарифной сметы на регулируемую услугу по  </t>
  </si>
  <si>
    <t xml:space="preserve">                                            распределению тепловой энергии за 2015 год.</t>
  </si>
  <si>
    <t xml:space="preserve">                       об исполнении тарифной сметы на регулируемую услугу по передаче и  </t>
  </si>
  <si>
    <t xml:space="preserve">           об исполнении тарифной сметы на регулируемую услугу по подаче горячей воды </t>
  </si>
  <si>
    <t xml:space="preserve">                                             по распределительным сетям на 2015 год.</t>
  </si>
  <si>
    <t xml:space="preserve">                 Отчет</t>
  </si>
  <si>
    <t xml:space="preserve">                 Директор                                                                                        Акшабаев Б. А.</t>
  </si>
  <si>
    <t>Предусмотрено в утвержденной тарифной смете         2-й год реализации (01.12.2015г)</t>
  </si>
  <si>
    <t xml:space="preserve">                             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</si>
</sst>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double">
        <color rgb="FFBFBFBF"/>
      </right>
      <top/>
      <bottom style="medium">
        <color rgb="FFBFBFBF"/>
      </bottom>
      <diagonal/>
    </border>
    <border>
      <left style="double">
        <color rgb="FFBFBFBF"/>
      </left>
      <right style="medium">
        <color rgb="FFBFBFBF"/>
      </right>
      <top/>
      <bottom style="double">
        <color rgb="FFBFBFBF"/>
      </bottom>
      <diagonal/>
    </border>
    <border>
      <left/>
      <right style="medium">
        <color rgb="FFBFBFBF"/>
      </right>
      <top/>
      <bottom style="double">
        <color rgb="FFBFBFBF"/>
      </bottom>
      <diagonal/>
    </border>
    <border>
      <left/>
      <right style="double">
        <color rgb="FFBFBFBF"/>
      </right>
      <top/>
      <bottom style="double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ill="1"/>
    <xf numFmtId="0" fontId="5" fillId="0" borderId="0" xfId="0" applyFont="1" applyFill="1"/>
    <xf numFmtId="0" fontId="1" fillId="0" borderId="7" xfId="0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" fillId="0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" fillId="0" borderId="7" xfId="0" applyFont="1" applyFill="1" applyBorder="1" applyAlignment="1">
      <alignment wrapText="1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5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/>
    <xf numFmtId="4" fontId="4" fillId="0" borderId="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2" fontId="0" fillId="0" borderId="0" xfId="0" applyNumberFormat="1" applyFill="1"/>
    <xf numFmtId="0" fontId="9" fillId="0" borderId="7" xfId="0" applyFont="1" applyFill="1" applyBorder="1" applyAlignment="1">
      <alignment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164" fontId="0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/>
    <xf numFmtId="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2" fontId="5" fillId="0" borderId="7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70"/>
  <sheetViews>
    <sheetView tabSelected="1" zoomScaleNormal="100" workbookViewId="0">
      <selection activeCell="I7" sqref="I7"/>
    </sheetView>
  </sheetViews>
  <sheetFormatPr defaultRowHeight="15" x14ac:dyDescent="0.25"/>
  <cols>
    <col min="1" max="1" width="3.7109375" style="1" customWidth="1"/>
    <col min="2" max="2" width="25.7109375" style="1" customWidth="1"/>
    <col min="3" max="3" width="10.42578125" style="1" customWidth="1"/>
    <col min="4" max="4" width="13.7109375" style="1" hidden="1" customWidth="1"/>
    <col min="5" max="5" width="1.85546875" style="1" hidden="1" customWidth="1"/>
    <col min="6" max="6" width="13.42578125" style="1" hidden="1" customWidth="1"/>
    <col min="7" max="7" width="9" style="1" hidden="1" customWidth="1"/>
    <col min="8" max="8" width="16.28515625" style="1" hidden="1" customWidth="1"/>
    <col min="9" max="9" width="14.85546875" style="1" customWidth="1"/>
    <col min="10" max="10" width="18.140625" style="1" hidden="1" customWidth="1"/>
    <col min="11" max="11" width="13.5703125" style="1" hidden="1" customWidth="1"/>
    <col min="12" max="12" width="14.85546875" style="1" hidden="1" customWidth="1"/>
    <col min="13" max="13" width="14" style="1" hidden="1" customWidth="1"/>
    <col min="14" max="14" width="2.85546875" style="1" hidden="1" customWidth="1"/>
    <col min="15" max="15" width="16" style="1" hidden="1" customWidth="1"/>
    <col min="16" max="16" width="15.28515625" style="1" hidden="1" customWidth="1"/>
    <col min="17" max="17" width="16.42578125" style="1" hidden="1" customWidth="1"/>
    <col min="18" max="18" width="13.7109375" style="1" hidden="1" customWidth="1"/>
    <col min="19" max="19" width="14.5703125" style="1" hidden="1" customWidth="1"/>
    <col min="20" max="20" width="15" style="1" hidden="1" customWidth="1"/>
    <col min="21" max="21" width="16.28515625" style="1" hidden="1" customWidth="1"/>
    <col min="22" max="22" width="16" style="1" hidden="1" customWidth="1"/>
    <col min="23" max="23" width="12.5703125" style="1" customWidth="1"/>
    <col min="24" max="24" width="11.42578125" style="1" customWidth="1"/>
    <col min="25" max="25" width="12.5703125" style="1" customWidth="1"/>
    <col min="26" max="26" width="10.7109375" style="1" hidden="1" customWidth="1"/>
    <col min="27" max="16384" width="9.140625" style="1"/>
  </cols>
  <sheetData>
    <row r="1" spans="1:29" x14ac:dyDescent="0.25">
      <c r="A1" s="104" t="s">
        <v>125</v>
      </c>
    </row>
    <row r="2" spans="1:29" x14ac:dyDescent="0.25">
      <c r="A2" s="104"/>
    </row>
    <row r="3" spans="1:29" x14ac:dyDescent="0.25">
      <c r="A3" s="104"/>
    </row>
    <row r="4" spans="1:29" x14ac:dyDescent="0.25">
      <c r="C4" s="2" t="s">
        <v>140</v>
      </c>
      <c r="H4" s="2" t="s">
        <v>131</v>
      </c>
    </row>
    <row r="5" spans="1:29" x14ac:dyDescent="0.25">
      <c r="B5" s="2" t="s">
        <v>132</v>
      </c>
    </row>
    <row r="6" spans="1:29" x14ac:dyDescent="0.25">
      <c r="B6" s="2" t="s">
        <v>126</v>
      </c>
    </row>
    <row r="9" spans="1:29" ht="31.5" customHeight="1" x14ac:dyDescent="0.25">
      <c r="A9" s="114" t="s">
        <v>0</v>
      </c>
      <c r="B9" s="114" t="s">
        <v>1</v>
      </c>
      <c r="C9" s="114" t="s">
        <v>2</v>
      </c>
      <c r="D9" s="114" t="s">
        <v>3</v>
      </c>
      <c r="E9" s="72"/>
      <c r="F9" s="101"/>
      <c r="G9" s="102"/>
      <c r="H9" s="114" t="s">
        <v>130</v>
      </c>
      <c r="I9" s="114" t="s">
        <v>139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101"/>
      <c r="V9" s="115" t="s">
        <v>120</v>
      </c>
      <c r="W9" s="119" t="s">
        <v>118</v>
      </c>
      <c r="X9" s="117" t="s">
        <v>119</v>
      </c>
      <c r="Y9" s="114" t="s">
        <v>123</v>
      </c>
      <c r="Z9" s="82"/>
    </row>
    <row r="10" spans="1:29" ht="41.25" customHeight="1" x14ac:dyDescent="0.25">
      <c r="A10" s="114"/>
      <c r="B10" s="114"/>
      <c r="C10" s="114"/>
      <c r="D10" s="114"/>
      <c r="E10" s="72" t="s">
        <v>116</v>
      </c>
      <c r="F10" s="78" t="s">
        <v>6</v>
      </c>
      <c r="G10" s="80" t="s">
        <v>107</v>
      </c>
      <c r="H10" s="114"/>
      <c r="I10" s="114"/>
      <c r="J10" s="72" t="s">
        <v>113</v>
      </c>
      <c r="K10" s="72" t="s">
        <v>8</v>
      </c>
      <c r="L10" s="72" t="s">
        <v>114</v>
      </c>
      <c r="M10" s="72" t="s">
        <v>9</v>
      </c>
      <c r="N10" s="72" t="s">
        <v>115</v>
      </c>
      <c r="O10" s="72" t="s">
        <v>10</v>
      </c>
      <c r="P10" s="72" t="s">
        <v>112</v>
      </c>
      <c r="Q10" s="95"/>
      <c r="R10" s="95"/>
      <c r="S10" s="95"/>
      <c r="T10" s="95"/>
      <c r="U10" s="103"/>
      <c r="V10" s="116"/>
      <c r="W10" s="120"/>
      <c r="X10" s="118"/>
      <c r="Y10" s="114"/>
      <c r="Z10" s="79" t="s">
        <v>68</v>
      </c>
    </row>
    <row r="11" spans="1:29" ht="43.5" customHeight="1" x14ac:dyDescent="0.25">
      <c r="A11" s="72" t="s">
        <v>11</v>
      </c>
      <c r="B11" s="3" t="s">
        <v>12</v>
      </c>
      <c r="C11" s="72" t="s">
        <v>13</v>
      </c>
      <c r="D11" s="4">
        <f>D12+D19+D22+D23+D26</f>
        <v>605374.27</v>
      </c>
      <c r="E11" s="4" t="e">
        <f>((#REF!-#REF!)/#REF!)*100</f>
        <v>#REF!</v>
      </c>
      <c r="F11" s="4">
        <f>F12+F19+F22+F23+F26</f>
        <v>2908415.5087728119</v>
      </c>
      <c r="G11" s="4">
        <f>((F11-D11)/D11)*100</f>
        <v>380.43262703794989</v>
      </c>
      <c r="H11" s="81">
        <v>577917.59</v>
      </c>
      <c r="I11" s="81">
        <f t="shared" ref="I11:O11" si="0">I12+I19+I22+I23+I26</f>
        <v>589475.11960560002</v>
      </c>
      <c r="J11" s="81">
        <f>((I11-H11)/H11)*100</f>
        <v>1.9998577315495887</v>
      </c>
      <c r="K11" s="81">
        <f t="shared" si="0"/>
        <v>584541.540181936</v>
      </c>
      <c r="L11" s="81">
        <f>((K11-I11)/I11)*100</f>
        <v>-0.83694447137394534</v>
      </c>
      <c r="M11" s="81">
        <f t="shared" si="0"/>
        <v>591870.36899285216</v>
      </c>
      <c r="N11" s="81">
        <f>((M11-K11)/K11)*100</f>
        <v>1.2537738222394084</v>
      </c>
      <c r="O11" s="81">
        <f t="shared" si="0"/>
        <v>564610.88923242327</v>
      </c>
      <c r="P11" s="81">
        <f>((O11-M11)/M11)*100</f>
        <v>-4.6056503566506635</v>
      </c>
      <c r="Q11" s="96"/>
      <c r="R11" s="96"/>
      <c r="S11" s="96"/>
      <c r="T11" s="96"/>
      <c r="U11" s="96"/>
      <c r="V11" s="106">
        <f>H11/12*3</f>
        <v>144479.39749999999</v>
      </c>
      <c r="W11" s="107">
        <v>204250.03</v>
      </c>
      <c r="X11" s="99">
        <f>W11/H11*100</f>
        <v>35.342414478161153</v>
      </c>
      <c r="Y11" s="91"/>
      <c r="Z11" s="69">
        <f>X11/W11*100</f>
        <v>1.730350515892759E-2</v>
      </c>
    </row>
    <row r="12" spans="1:29" ht="16.5" customHeight="1" x14ac:dyDescent="0.25">
      <c r="A12" s="121">
        <v>1</v>
      </c>
      <c r="B12" s="3" t="s">
        <v>14</v>
      </c>
      <c r="C12" s="72" t="s">
        <v>13</v>
      </c>
      <c r="D12" s="4">
        <f>D14+D16+D17+D18</f>
        <v>548701.06999999995</v>
      </c>
      <c r="E12" s="4" t="e">
        <f>((#REF!-#REF!)/#REF!)*100</f>
        <v>#REF!</v>
      </c>
      <c r="F12" s="4">
        <f>F14+F15+F16+F17+F18</f>
        <v>2169324.4875000003</v>
      </c>
      <c r="G12" s="4">
        <f>((F12-D12)/D12)*100</f>
        <v>295.3563435733779</v>
      </c>
      <c r="H12" s="4">
        <v>439257.81</v>
      </c>
      <c r="I12" s="4">
        <f t="shared" ref="I12:O12" si="1">I14+I15+I16+I17+I18</f>
        <v>446465.45</v>
      </c>
      <c r="J12" s="4">
        <f>((I12-H12)/H12)*100</f>
        <v>1.6408678083606558</v>
      </c>
      <c r="K12" s="4">
        <f t="shared" si="1"/>
        <v>436933.4</v>
      </c>
      <c r="L12" s="4">
        <f t="shared" ref="L12:L60" si="2">((K12-I12)/I12)*100</f>
        <v>-2.1350028316860774</v>
      </c>
      <c r="M12" s="4">
        <f t="shared" si="1"/>
        <v>439400.60000000003</v>
      </c>
      <c r="N12" s="4">
        <f t="shared" ref="N12:N60" si="3">((M12-K12)/K12)*100</f>
        <v>0.56466271518725997</v>
      </c>
      <c r="O12" s="4">
        <f t="shared" si="1"/>
        <v>407267.22749999998</v>
      </c>
      <c r="P12" s="4">
        <f t="shared" ref="P12:P60" si="4">((O12-M12)/M12)*100</f>
        <v>-7.3130015070530296</v>
      </c>
      <c r="Q12" s="96"/>
      <c r="R12" s="96"/>
      <c r="S12" s="96"/>
      <c r="T12" s="96"/>
      <c r="U12" s="96"/>
      <c r="V12" s="106">
        <f>H12/12*3</f>
        <v>109814.45249999998</v>
      </c>
      <c r="W12" s="108">
        <v>148636.20000000001</v>
      </c>
      <c r="X12" s="99">
        <f>W12/H12*100</f>
        <v>33.83803238467177</v>
      </c>
      <c r="Y12" s="91"/>
      <c r="Z12" s="69">
        <f t="shared" ref="Z12:Z60" si="5">X12/W12*100</f>
        <v>2.2765673762294627E-2</v>
      </c>
    </row>
    <row r="13" spans="1:29" ht="16.5" customHeight="1" x14ac:dyDescent="0.25">
      <c r="A13" s="121"/>
      <c r="B13" s="3" t="s">
        <v>15</v>
      </c>
      <c r="C13" s="72"/>
      <c r="D13" s="92"/>
      <c r="E13" s="4"/>
      <c r="F13" s="72" t="s">
        <v>16</v>
      </c>
      <c r="G13" s="4"/>
      <c r="H13" s="47"/>
      <c r="I13" s="47"/>
      <c r="J13" s="4"/>
      <c r="K13" s="47"/>
      <c r="L13" s="4"/>
      <c r="M13" s="95"/>
      <c r="N13" s="4"/>
      <c r="O13" s="95"/>
      <c r="P13" s="4"/>
      <c r="Q13" s="96"/>
      <c r="R13" s="96">
        <v>9160.11</v>
      </c>
      <c r="S13" s="98">
        <v>10554.8</v>
      </c>
      <c r="T13" s="98">
        <v>10970.8</v>
      </c>
      <c r="U13" s="98">
        <v>11395.2</v>
      </c>
      <c r="V13" s="97"/>
      <c r="W13" s="95"/>
      <c r="X13" s="94"/>
      <c r="Y13" s="93"/>
      <c r="Z13" s="69"/>
    </row>
    <row r="14" spans="1:29" ht="14.25" customHeight="1" x14ac:dyDescent="0.25">
      <c r="A14" s="6">
        <v>1.1000000000000001</v>
      </c>
      <c r="B14" s="7" t="s">
        <v>17</v>
      </c>
      <c r="C14" s="8" t="s">
        <v>13</v>
      </c>
      <c r="D14" s="9">
        <v>208283.4</v>
      </c>
      <c r="E14" s="4" t="e">
        <f>((#REF!-#REF!)/#REF!)*100</f>
        <v>#REF!</v>
      </c>
      <c r="F14" s="9">
        <f>H14+I14+K14+M14+O14</f>
        <v>308459.73750000005</v>
      </c>
      <c r="G14" s="4">
        <f>((F14-D14)/D14)*100</f>
        <v>48.09616968995131</v>
      </c>
      <c r="H14" s="9">
        <f>19405.1+R14+R13</f>
        <v>62213.71</v>
      </c>
      <c r="I14" s="9">
        <f>20799.8+S14+S13</f>
        <v>67792.600000000006</v>
      </c>
      <c r="J14" s="4">
        <f t="shared" ref="J14:J23" si="6">((I14-H14)/H14)*100</f>
        <v>8.9672999729480942</v>
      </c>
      <c r="K14" s="9">
        <f>21215.8+T14+T13</f>
        <v>69456.600000000006</v>
      </c>
      <c r="L14" s="4">
        <f t="shared" si="2"/>
        <v>2.4545451863477723</v>
      </c>
      <c r="M14" s="9">
        <f>21640.2+U14+U13</f>
        <v>71154</v>
      </c>
      <c r="N14" s="4">
        <f t="shared" si="3"/>
        <v>2.4438282323062088</v>
      </c>
      <c r="O14" s="9">
        <f>22289.4+V14+V13</f>
        <v>37842.827499999999</v>
      </c>
      <c r="P14" s="4">
        <f t="shared" si="4"/>
        <v>-46.815600668971527</v>
      </c>
      <c r="Q14" s="96"/>
      <c r="R14" s="98">
        <v>33648.5</v>
      </c>
      <c r="S14" s="98">
        <v>36438</v>
      </c>
      <c r="T14" s="98">
        <v>37270</v>
      </c>
      <c r="U14" s="98">
        <v>38118.600000000006</v>
      </c>
      <c r="V14" s="97">
        <f>H14/12*3</f>
        <v>15553.427499999998</v>
      </c>
      <c r="W14" s="95">
        <v>15534</v>
      </c>
      <c r="X14" s="94">
        <f t="shared" ref="X14:X22" si="7">W14/H14*100</f>
        <v>24.968772960172284</v>
      </c>
      <c r="Y14" s="93"/>
      <c r="Z14" s="69">
        <f t="shared" si="5"/>
        <v>0.16073627501076532</v>
      </c>
      <c r="AC14" s="10"/>
    </row>
    <row r="15" spans="1:29" ht="27" customHeight="1" x14ac:dyDescent="0.25">
      <c r="A15" s="6">
        <v>1.2</v>
      </c>
      <c r="B15" s="7" t="s">
        <v>18</v>
      </c>
      <c r="C15" s="8" t="s">
        <v>13</v>
      </c>
      <c r="D15" s="92"/>
      <c r="E15" s="4" t="e">
        <f>((#REF!-#REF!)/#REF!)*100</f>
        <v>#REF!</v>
      </c>
      <c r="F15" s="9">
        <f>H15+I15+K15+M15+O15</f>
        <v>164018.95000000001</v>
      </c>
      <c r="G15" s="4"/>
      <c r="H15" s="9">
        <v>31457.1</v>
      </c>
      <c r="I15" s="9">
        <v>32082.75</v>
      </c>
      <c r="J15" s="4">
        <f t="shared" si="6"/>
        <v>1.9888991674375627</v>
      </c>
      <c r="K15" s="9">
        <v>32723</v>
      </c>
      <c r="L15" s="4">
        <f t="shared" si="2"/>
        <v>1.9956206995971355</v>
      </c>
      <c r="M15" s="9">
        <v>33377.4</v>
      </c>
      <c r="N15" s="4">
        <f t="shared" si="3"/>
        <v>1.9998166427283606</v>
      </c>
      <c r="O15" s="9">
        <v>34378.699999999997</v>
      </c>
      <c r="P15" s="4">
        <f t="shared" si="4"/>
        <v>2.9999340871367917</v>
      </c>
      <c r="Q15" s="96"/>
      <c r="R15" s="96"/>
      <c r="S15" s="96"/>
      <c r="T15" s="96"/>
      <c r="U15" s="96"/>
      <c r="V15" s="97">
        <f>H15/12*3</f>
        <v>7864.2749999999996</v>
      </c>
      <c r="W15" s="95">
        <v>9153.9</v>
      </c>
      <c r="X15" s="94">
        <f t="shared" si="7"/>
        <v>29.099630925927695</v>
      </c>
      <c r="Y15" s="91"/>
      <c r="Z15" s="69">
        <f t="shared" si="5"/>
        <v>0.31789325780189531</v>
      </c>
    </row>
    <row r="16" spans="1:29" ht="14.25" customHeight="1" x14ac:dyDescent="0.25">
      <c r="A16" s="6">
        <v>1.3</v>
      </c>
      <c r="B16" s="7" t="s">
        <v>19</v>
      </c>
      <c r="C16" s="8" t="s">
        <v>13</v>
      </c>
      <c r="D16" s="8">
        <v>557.6</v>
      </c>
      <c r="E16" s="4" t="e">
        <f>((#REF!-#REF!)/#REF!)*100</f>
        <v>#REF!</v>
      </c>
      <c r="F16" s="9">
        <f>H16+I16+K16+M16+O16</f>
        <v>28013.7</v>
      </c>
      <c r="G16" s="4">
        <f t="shared" ref="G16:G23" si="8">((F16-D16)/D16)*100</f>
        <v>4923.9777618364424</v>
      </c>
      <c r="H16" s="9">
        <v>4651</v>
      </c>
      <c r="I16" s="9">
        <v>5654.1</v>
      </c>
      <c r="J16" s="4">
        <f t="shared" si="6"/>
        <v>21.567404859170079</v>
      </c>
      <c r="K16" s="9">
        <v>5767.1</v>
      </c>
      <c r="L16" s="4">
        <f t="shared" si="2"/>
        <v>1.9985497249783342</v>
      </c>
      <c r="M16" s="9">
        <v>5882.5</v>
      </c>
      <c r="N16" s="4">
        <f t="shared" si="3"/>
        <v>2.0010057047736232</v>
      </c>
      <c r="O16" s="9">
        <v>6059</v>
      </c>
      <c r="P16" s="4">
        <f t="shared" si="4"/>
        <v>3.0004249893752655</v>
      </c>
      <c r="Q16" s="96"/>
      <c r="R16" s="96"/>
      <c r="S16" s="96"/>
      <c r="T16" s="96"/>
      <c r="U16" s="96"/>
      <c r="V16" s="97">
        <f t="shared" ref="V16:V23" si="9">H16/12*3</f>
        <v>1162.75</v>
      </c>
      <c r="W16" s="95">
        <v>488.3</v>
      </c>
      <c r="X16" s="94">
        <f t="shared" si="7"/>
        <v>10.49881745861105</v>
      </c>
      <c r="Y16" s="93"/>
      <c r="Z16" s="69">
        <f t="shared" si="5"/>
        <v>2.150075252633842</v>
      </c>
    </row>
    <row r="17" spans="1:26" ht="13.5" customHeight="1" x14ac:dyDescent="0.25">
      <c r="A17" s="6">
        <v>1.4</v>
      </c>
      <c r="B17" s="7" t="s">
        <v>20</v>
      </c>
      <c r="C17" s="8" t="s">
        <v>13</v>
      </c>
      <c r="D17" s="9">
        <v>279068.17</v>
      </c>
      <c r="E17" s="4" t="e">
        <f>((#REF!-#REF!)/#REF!)*100</f>
        <v>#REF!</v>
      </c>
      <c r="F17" s="9">
        <f t="shared" ref="F17:F18" si="10">H17+I17+K17+M17+O17</f>
        <v>1218813.6000000001</v>
      </c>
      <c r="G17" s="4">
        <f t="shared" si="8"/>
        <v>336.74403999567568</v>
      </c>
      <c r="H17" s="9">
        <v>250932.3</v>
      </c>
      <c r="I17" s="9">
        <v>250932.3</v>
      </c>
      <c r="J17" s="4">
        <f t="shared" si="6"/>
        <v>0</v>
      </c>
      <c r="K17" s="9">
        <v>238983</v>
      </c>
      <c r="L17" s="4">
        <f t="shared" si="2"/>
        <v>-4.7619616924564863</v>
      </c>
      <c r="M17" s="9">
        <v>238983</v>
      </c>
      <c r="N17" s="4">
        <f t="shared" si="3"/>
        <v>0</v>
      </c>
      <c r="O17" s="9">
        <v>238983</v>
      </c>
      <c r="P17" s="4">
        <f t="shared" si="4"/>
        <v>0</v>
      </c>
      <c r="Q17" s="96"/>
      <c r="R17" s="96"/>
      <c r="S17" s="96"/>
      <c r="T17" s="96"/>
      <c r="U17" s="96"/>
      <c r="V17" s="97">
        <f t="shared" si="9"/>
        <v>62733.074999999997</v>
      </c>
      <c r="W17" s="95">
        <v>99835</v>
      </c>
      <c r="X17" s="94">
        <f t="shared" si="7"/>
        <v>39.785631423296245</v>
      </c>
      <c r="Y17" s="93"/>
      <c r="Z17" s="69">
        <f t="shared" si="5"/>
        <v>3.9851386210543641E-2</v>
      </c>
    </row>
    <row r="18" spans="1:26" x14ac:dyDescent="0.25">
      <c r="A18" s="6">
        <v>1.5</v>
      </c>
      <c r="B18" s="7" t="s">
        <v>21</v>
      </c>
      <c r="C18" s="8" t="s">
        <v>13</v>
      </c>
      <c r="D18" s="9">
        <v>60791.9</v>
      </c>
      <c r="E18" s="4" t="e">
        <f>((#REF!-#REF!)/#REF!)*100</f>
        <v>#REF!</v>
      </c>
      <c r="F18" s="9">
        <f t="shared" si="10"/>
        <v>450018.5</v>
      </c>
      <c r="G18" s="4">
        <f t="shared" si="8"/>
        <v>640.26062682692918</v>
      </c>
      <c r="H18" s="9">
        <v>90003.7</v>
      </c>
      <c r="I18" s="9">
        <v>90003.7</v>
      </c>
      <c r="J18" s="4">
        <f t="shared" si="6"/>
        <v>0</v>
      </c>
      <c r="K18" s="9">
        <v>90003.7</v>
      </c>
      <c r="L18" s="4">
        <f t="shared" si="2"/>
        <v>0</v>
      </c>
      <c r="M18" s="9">
        <v>90003.7</v>
      </c>
      <c r="N18" s="4">
        <f t="shared" si="3"/>
        <v>0</v>
      </c>
      <c r="O18" s="9">
        <v>90003.7</v>
      </c>
      <c r="P18" s="4">
        <f t="shared" si="4"/>
        <v>0</v>
      </c>
      <c r="Q18" s="96"/>
      <c r="R18" s="96"/>
      <c r="S18" s="96"/>
      <c r="T18" s="96"/>
      <c r="U18" s="96"/>
      <c r="V18" s="97">
        <f t="shared" si="9"/>
        <v>22500.924999999999</v>
      </c>
      <c r="W18" s="95">
        <v>23625</v>
      </c>
      <c r="X18" s="94">
        <f t="shared" si="7"/>
        <v>26.248920877697252</v>
      </c>
      <c r="Y18" s="93"/>
      <c r="Z18" s="69">
        <f t="shared" si="5"/>
        <v>0.11110654339766032</v>
      </c>
    </row>
    <row r="19" spans="1:26" ht="28.5" customHeight="1" x14ac:dyDescent="0.25">
      <c r="A19" s="73">
        <v>2</v>
      </c>
      <c r="B19" s="3" t="s">
        <v>22</v>
      </c>
      <c r="C19" s="72" t="s">
        <v>13</v>
      </c>
      <c r="D19" s="4">
        <v>18136.5</v>
      </c>
      <c r="E19" s="4" t="e">
        <f>((#REF!-#REF!)/#REF!)*100</f>
        <v>#REF!</v>
      </c>
      <c r="F19" s="4">
        <f>F20+F21</f>
        <v>143184.87127281149</v>
      </c>
      <c r="G19" s="4">
        <f t="shared" si="8"/>
        <v>689.48458232190046</v>
      </c>
      <c r="H19" s="4">
        <f>H20+H21</f>
        <v>25400.480760000002</v>
      </c>
      <c r="I19" s="4">
        <f t="shared" ref="I19:M19" si="11">I20+I21</f>
        <v>26924.509605600004</v>
      </c>
      <c r="J19" s="4">
        <f t="shared" si="6"/>
        <v>6.0000000000000062</v>
      </c>
      <c r="K19" s="4">
        <f t="shared" si="11"/>
        <v>28539.980181936007</v>
      </c>
      <c r="L19" s="4">
        <f t="shared" si="2"/>
        <v>6.0000000000000115</v>
      </c>
      <c r="M19" s="4">
        <f t="shared" si="11"/>
        <v>30252.378992852169</v>
      </c>
      <c r="N19" s="4">
        <f t="shared" si="3"/>
        <v>6.0000000000000053</v>
      </c>
      <c r="O19" s="4">
        <f>O20+O21</f>
        <v>32067.521732423302</v>
      </c>
      <c r="P19" s="4">
        <f t="shared" si="4"/>
        <v>6.000000000000008</v>
      </c>
      <c r="Q19" s="96"/>
      <c r="R19" s="96"/>
      <c r="S19" s="96"/>
      <c r="T19" s="96"/>
      <c r="U19" s="96"/>
      <c r="V19" s="106">
        <f t="shared" si="9"/>
        <v>6350.1201900000015</v>
      </c>
      <c r="W19" s="108">
        <v>10555.4</v>
      </c>
      <c r="X19" s="99">
        <f t="shared" si="7"/>
        <v>41.555906361514076</v>
      </c>
      <c r="Y19" s="93"/>
      <c r="Z19" s="69">
        <f t="shared" si="5"/>
        <v>0.39369333574771281</v>
      </c>
    </row>
    <row r="20" spans="1:26" ht="25.5" customHeight="1" x14ac:dyDescent="0.25">
      <c r="A20" s="6">
        <v>2.1</v>
      </c>
      <c r="B20" s="11" t="s">
        <v>23</v>
      </c>
      <c r="C20" s="8" t="s">
        <v>13</v>
      </c>
      <c r="D20" s="9">
        <v>15461.7</v>
      </c>
      <c r="E20" s="4" t="e">
        <f>((#REF!-#REF!)/#REF!)*100</f>
        <v>#REF!</v>
      </c>
      <c r="F20" s="9">
        <f>H20+I20+K20+M20+O20</f>
        <v>128995.37952505541</v>
      </c>
      <c r="G20" s="4">
        <f t="shared" si="8"/>
        <v>734.2897580800003</v>
      </c>
      <c r="H20" s="9">
        <f>D20*1.48</f>
        <v>22883.316000000003</v>
      </c>
      <c r="I20" s="9">
        <f>H20*1.06</f>
        <v>24256.314960000003</v>
      </c>
      <c r="J20" s="4">
        <f t="shared" si="6"/>
        <v>6.0000000000000027</v>
      </c>
      <c r="K20" s="9">
        <f>I20*1.06</f>
        <v>25711.693857600007</v>
      </c>
      <c r="L20" s="4">
        <f t="shared" si="2"/>
        <v>6.0000000000000124</v>
      </c>
      <c r="M20" s="9">
        <f>K20*1.06</f>
        <v>27254.395489056009</v>
      </c>
      <c r="N20" s="4">
        <f t="shared" si="3"/>
        <v>6.0000000000000071</v>
      </c>
      <c r="O20" s="9">
        <f t="shared" ref="O20" si="12">M20*1.06</f>
        <v>28889.659218399371</v>
      </c>
      <c r="P20" s="4">
        <f t="shared" si="4"/>
        <v>6.0000000000000044</v>
      </c>
      <c r="Q20" s="96"/>
      <c r="R20" s="96"/>
      <c r="S20" s="96"/>
      <c r="T20" s="96"/>
      <c r="U20" s="96"/>
      <c r="V20" s="97">
        <f t="shared" si="9"/>
        <v>5720.8290000000006</v>
      </c>
      <c r="W20" s="95">
        <v>9599.5</v>
      </c>
      <c r="X20" s="94">
        <f t="shared" si="7"/>
        <v>41.949776859262876</v>
      </c>
      <c r="Y20" s="93"/>
      <c r="Z20" s="69">
        <f t="shared" si="5"/>
        <v>0.43699960267996119</v>
      </c>
    </row>
    <row r="21" spans="1:26" ht="16.5" customHeight="1" x14ac:dyDescent="0.25">
      <c r="A21" s="6">
        <v>2.2000000000000002</v>
      </c>
      <c r="B21" s="7" t="s">
        <v>24</v>
      </c>
      <c r="C21" s="8" t="s">
        <v>13</v>
      </c>
      <c r="D21" s="9">
        <v>2674.8</v>
      </c>
      <c r="E21" s="4" t="e">
        <f>((#REF!-#REF!)/#REF!)*100</f>
        <v>#REF!</v>
      </c>
      <c r="F21" s="9">
        <f>H21+I21+K21+M21+O21</f>
        <v>14189.491747756092</v>
      </c>
      <c r="G21" s="4">
        <f t="shared" si="8"/>
        <v>430.48795228637999</v>
      </c>
      <c r="H21" s="9">
        <f>(H20/100)*11</f>
        <v>2517.1647600000001</v>
      </c>
      <c r="I21" s="9">
        <f t="shared" ref="I21:O21" si="13">(I20/100)*11</f>
        <v>2668.1946456000005</v>
      </c>
      <c r="J21" s="4">
        <f t="shared" si="6"/>
        <v>6.000000000000016</v>
      </c>
      <c r="K21" s="9">
        <f t="shared" si="13"/>
        <v>2828.2863243360007</v>
      </c>
      <c r="L21" s="4">
        <f t="shared" si="2"/>
        <v>6.0000000000000053</v>
      </c>
      <c r="M21" s="9">
        <f t="shared" si="13"/>
        <v>2997.9835037961611</v>
      </c>
      <c r="N21" s="4">
        <f t="shared" si="3"/>
        <v>6.0000000000000142</v>
      </c>
      <c r="O21" s="9">
        <f t="shared" si="13"/>
        <v>3177.862514023931</v>
      </c>
      <c r="P21" s="4">
        <f t="shared" si="4"/>
        <v>6.0000000000000071</v>
      </c>
      <c r="Q21" s="96"/>
      <c r="R21" s="96"/>
      <c r="S21" s="96"/>
      <c r="T21" s="96"/>
      <c r="U21" s="96"/>
      <c r="V21" s="97">
        <f t="shared" si="9"/>
        <v>629.29119000000003</v>
      </c>
      <c r="W21" s="95">
        <v>955.9</v>
      </c>
      <c r="X21" s="94">
        <f t="shared" si="7"/>
        <v>37.97526547288863</v>
      </c>
      <c r="Y21" s="93"/>
      <c r="Z21" s="69">
        <f t="shared" si="5"/>
        <v>3.9727236607269201</v>
      </c>
    </row>
    <row r="22" spans="1:26" ht="14.25" customHeight="1" x14ac:dyDescent="0.25">
      <c r="A22" s="73">
        <v>3</v>
      </c>
      <c r="B22" s="3" t="s">
        <v>25</v>
      </c>
      <c r="C22" s="72" t="s">
        <v>13</v>
      </c>
      <c r="D22" s="4">
        <v>3233.1</v>
      </c>
      <c r="E22" s="4" t="e">
        <f>((#REF!-#REF!)/#REF!)*100</f>
        <v>#REF!</v>
      </c>
      <c r="F22" s="4">
        <f>H22+I22+K22+M22+O22</f>
        <v>250610</v>
      </c>
      <c r="G22" s="4">
        <f t="shared" si="8"/>
        <v>7651.3841205035424</v>
      </c>
      <c r="H22" s="4">
        <v>50122</v>
      </c>
      <c r="I22" s="4">
        <v>50122</v>
      </c>
      <c r="J22" s="4">
        <f t="shared" si="6"/>
        <v>0</v>
      </c>
      <c r="K22" s="4">
        <v>50122</v>
      </c>
      <c r="L22" s="4">
        <f t="shared" si="2"/>
        <v>0</v>
      </c>
      <c r="M22" s="4">
        <v>50122</v>
      </c>
      <c r="N22" s="4">
        <f t="shared" si="3"/>
        <v>0</v>
      </c>
      <c r="O22" s="4">
        <v>50122</v>
      </c>
      <c r="P22" s="4">
        <f t="shared" si="4"/>
        <v>0</v>
      </c>
      <c r="Q22" s="96"/>
      <c r="R22" s="96"/>
      <c r="S22" s="96"/>
      <c r="T22" s="96"/>
      <c r="U22" s="96"/>
      <c r="V22" s="106">
        <f t="shared" si="9"/>
        <v>12530.5</v>
      </c>
      <c r="W22" s="108">
        <v>26678</v>
      </c>
      <c r="X22" s="99">
        <f t="shared" si="7"/>
        <v>53.226128247077128</v>
      </c>
      <c r="Y22" s="93"/>
      <c r="Z22" s="69">
        <f t="shared" si="5"/>
        <v>0.19951318782171498</v>
      </c>
    </row>
    <row r="23" spans="1:26" ht="14.25" customHeight="1" x14ac:dyDescent="0.25">
      <c r="A23" s="121">
        <v>4</v>
      </c>
      <c r="B23" s="3" t="s">
        <v>26</v>
      </c>
      <c r="C23" s="72" t="s">
        <v>13</v>
      </c>
      <c r="D23" s="4">
        <v>16341.3</v>
      </c>
      <c r="E23" s="4" t="e">
        <f>((#REF!-#REF!)/#REF!)*100</f>
        <v>#REF!</v>
      </c>
      <c r="F23" s="4">
        <f>H23+I23+K23+M23+O23</f>
        <v>59787</v>
      </c>
      <c r="G23" s="4">
        <f t="shared" si="8"/>
        <v>265.86440491270582</v>
      </c>
      <c r="H23" s="4">
        <f>H25</f>
        <v>11957.4</v>
      </c>
      <c r="I23" s="4">
        <f t="shared" ref="I23:O23" si="14">I25</f>
        <v>11957.4</v>
      </c>
      <c r="J23" s="4">
        <f t="shared" si="6"/>
        <v>0</v>
      </c>
      <c r="K23" s="4">
        <f t="shared" si="14"/>
        <v>11957.4</v>
      </c>
      <c r="L23" s="4">
        <f t="shared" si="2"/>
        <v>0</v>
      </c>
      <c r="M23" s="4">
        <f t="shared" si="14"/>
        <v>11957.4</v>
      </c>
      <c r="N23" s="4">
        <f t="shared" si="3"/>
        <v>0</v>
      </c>
      <c r="O23" s="4">
        <f t="shared" si="14"/>
        <v>11957.4</v>
      </c>
      <c r="P23" s="4">
        <f t="shared" si="4"/>
        <v>0</v>
      </c>
      <c r="Q23" s="96"/>
      <c r="R23" s="96"/>
      <c r="S23" s="96"/>
      <c r="T23" s="96"/>
      <c r="U23" s="96"/>
      <c r="V23" s="106">
        <f t="shared" si="9"/>
        <v>2989.35</v>
      </c>
      <c r="W23" s="108"/>
      <c r="X23" s="99"/>
      <c r="Y23" s="93"/>
      <c r="Z23" s="69" t="e">
        <f t="shared" si="5"/>
        <v>#DIV/0!</v>
      </c>
    </row>
    <row r="24" spans="1:26" ht="15" customHeight="1" x14ac:dyDescent="0.25">
      <c r="A24" s="121"/>
      <c r="B24" s="7" t="s">
        <v>27</v>
      </c>
      <c r="C24" s="72"/>
      <c r="D24" s="92"/>
      <c r="E24" s="4"/>
      <c r="F24" s="72" t="s">
        <v>16</v>
      </c>
      <c r="G24" s="4"/>
      <c r="H24" s="47"/>
      <c r="I24" s="47"/>
      <c r="J24" s="4"/>
      <c r="K24" s="47"/>
      <c r="L24" s="4"/>
      <c r="M24" s="95"/>
      <c r="N24" s="4"/>
      <c r="O24" s="95"/>
      <c r="P24" s="4"/>
      <c r="Q24" s="96"/>
      <c r="R24" s="96"/>
      <c r="S24" s="96"/>
      <c r="T24" s="96"/>
      <c r="U24" s="96"/>
      <c r="V24" s="97"/>
      <c r="W24" s="95"/>
      <c r="X24" s="95"/>
      <c r="Y24" s="93"/>
      <c r="Z24" s="69"/>
    </row>
    <row r="25" spans="1:26" ht="40.5" customHeight="1" x14ac:dyDescent="0.25">
      <c r="A25" s="6">
        <v>4.0999999999999996</v>
      </c>
      <c r="B25" s="7" t="s">
        <v>28</v>
      </c>
      <c r="C25" s="8" t="s">
        <v>13</v>
      </c>
      <c r="D25" s="9">
        <v>16341.3</v>
      </c>
      <c r="E25" s="4" t="e">
        <f>((#REF!-#REF!)/#REF!)*100</f>
        <v>#REF!</v>
      </c>
      <c r="F25" s="9">
        <f>H25+I25+K25+M25+O25</f>
        <v>59787</v>
      </c>
      <c r="G25" s="4">
        <f>((F25-D25)/D25)*100</f>
        <v>265.86440491270582</v>
      </c>
      <c r="H25" s="9">
        <v>11957.4</v>
      </c>
      <c r="I25" s="9">
        <v>11957.4</v>
      </c>
      <c r="J25" s="4">
        <f>((I25-H25)/H25)*100</f>
        <v>0</v>
      </c>
      <c r="K25" s="9">
        <v>11957.4</v>
      </c>
      <c r="L25" s="4">
        <f t="shared" si="2"/>
        <v>0</v>
      </c>
      <c r="M25" s="9">
        <v>11957.4</v>
      </c>
      <c r="N25" s="4">
        <f t="shared" si="3"/>
        <v>0</v>
      </c>
      <c r="O25" s="9">
        <v>11957.4</v>
      </c>
      <c r="P25" s="4">
        <f t="shared" si="4"/>
        <v>0</v>
      </c>
      <c r="Q25" s="96"/>
      <c r="R25" s="96"/>
      <c r="S25" s="96"/>
      <c r="T25" s="96"/>
      <c r="U25" s="96"/>
      <c r="V25" s="97">
        <f t="shared" ref="V25:V26" si="15">H25/12*3</f>
        <v>2989.35</v>
      </c>
      <c r="W25" s="95"/>
      <c r="X25" s="94"/>
      <c r="Y25" s="91"/>
      <c r="Z25" s="69" t="e">
        <f t="shared" si="5"/>
        <v>#DIV/0!</v>
      </c>
    </row>
    <row r="26" spans="1:26" ht="16.5" customHeight="1" x14ac:dyDescent="0.25">
      <c r="A26" s="73">
        <v>5</v>
      </c>
      <c r="B26" s="3" t="s">
        <v>29</v>
      </c>
      <c r="C26" s="72" t="s">
        <v>13</v>
      </c>
      <c r="D26" s="4">
        <v>18962.3</v>
      </c>
      <c r="E26" s="4" t="e">
        <f>((#REF!-#REF!)/#REF!)*100</f>
        <v>#REF!</v>
      </c>
      <c r="F26" s="4">
        <f>F29+F30</f>
        <v>285509.15000000002</v>
      </c>
      <c r="G26" s="4">
        <f>((F26-D26)/D26)*100</f>
        <v>1405.6672977434175</v>
      </c>
      <c r="H26" s="4">
        <f>H29+H30</f>
        <v>51179.899999999994</v>
      </c>
      <c r="I26" s="4">
        <f t="shared" ref="I26:O26" si="16">I29+I30</f>
        <v>54005.760000000002</v>
      </c>
      <c r="J26" s="4">
        <f>((I26-H26)/H26)*100</f>
        <v>5.5214254033321835</v>
      </c>
      <c r="K26" s="4">
        <f t="shared" si="16"/>
        <v>56988.76</v>
      </c>
      <c r="L26" s="4">
        <f t="shared" si="2"/>
        <v>5.5234849023511563</v>
      </c>
      <c r="M26" s="4">
        <f t="shared" si="16"/>
        <v>60137.99</v>
      </c>
      <c r="N26" s="4">
        <f t="shared" si="3"/>
        <v>5.5260546114707463</v>
      </c>
      <c r="O26" s="4">
        <f t="shared" si="16"/>
        <v>63196.74</v>
      </c>
      <c r="P26" s="4">
        <f t="shared" si="4"/>
        <v>5.0862192101864396</v>
      </c>
      <c r="Q26" s="96"/>
      <c r="R26" s="96"/>
      <c r="S26" s="96"/>
      <c r="T26" s="96"/>
      <c r="U26" s="96"/>
      <c r="V26" s="106">
        <f t="shared" si="15"/>
        <v>12794.974999999999</v>
      </c>
      <c r="W26" s="108">
        <v>18380.43</v>
      </c>
      <c r="X26" s="99">
        <f>W26/H26*100</f>
        <v>35.913376149621243</v>
      </c>
      <c r="Y26" s="93"/>
      <c r="Z26" s="69">
        <f t="shared" si="5"/>
        <v>0.19538920552795142</v>
      </c>
    </row>
    <row r="27" spans="1:26" ht="15.75" customHeight="1" x14ac:dyDescent="0.25">
      <c r="A27" s="3"/>
      <c r="B27" s="7" t="s">
        <v>27</v>
      </c>
      <c r="C27" s="72"/>
      <c r="D27" s="92"/>
      <c r="E27" s="4"/>
      <c r="F27" s="92"/>
      <c r="G27" s="4"/>
      <c r="H27" s="47"/>
      <c r="I27" s="47"/>
      <c r="J27" s="4"/>
      <c r="K27" s="47"/>
      <c r="L27" s="4"/>
      <c r="M27" s="47"/>
      <c r="N27" s="4"/>
      <c r="O27" s="47"/>
      <c r="P27" s="4"/>
      <c r="Q27" s="96"/>
      <c r="R27" s="96"/>
      <c r="S27" s="96"/>
      <c r="T27" s="96"/>
      <c r="U27" s="96"/>
      <c r="V27" s="97"/>
      <c r="W27" s="95"/>
      <c r="X27" s="95"/>
      <c r="Y27" s="93"/>
      <c r="Z27" s="69"/>
    </row>
    <row r="28" spans="1:26" ht="27" customHeight="1" x14ac:dyDescent="0.25">
      <c r="A28" s="3"/>
      <c r="B28" s="7" t="s">
        <v>30</v>
      </c>
      <c r="C28" s="8" t="s">
        <v>13</v>
      </c>
      <c r="D28" s="12">
        <v>3707.2</v>
      </c>
      <c r="E28" s="4"/>
      <c r="F28" s="8" t="s">
        <v>16</v>
      </c>
      <c r="G28" s="4"/>
      <c r="H28" s="47"/>
      <c r="I28" s="47"/>
      <c r="J28" s="4"/>
      <c r="K28" s="47"/>
      <c r="L28" s="4"/>
      <c r="M28" s="95"/>
      <c r="N28" s="4"/>
      <c r="O28" s="95"/>
      <c r="P28" s="4"/>
      <c r="Q28" s="96"/>
      <c r="R28" s="96"/>
      <c r="S28" s="96"/>
      <c r="T28" s="96"/>
      <c r="U28" s="96"/>
      <c r="V28" s="97"/>
      <c r="W28" s="95"/>
      <c r="X28" s="95"/>
      <c r="Y28" s="93"/>
      <c r="Z28" s="69"/>
    </row>
    <row r="29" spans="1:26" ht="24" customHeight="1" thickBot="1" x14ac:dyDescent="0.3">
      <c r="A29" s="3"/>
      <c r="B29" s="7" t="s">
        <v>31</v>
      </c>
      <c r="C29" s="8" t="s">
        <v>13</v>
      </c>
      <c r="D29" s="8">
        <v>955.9</v>
      </c>
      <c r="E29" s="4" t="e">
        <f>((#REF!-#REF!)/#REF!)*100</f>
        <v>#REF!</v>
      </c>
      <c r="F29" s="9">
        <f>H29+I29+K29+M29+O29</f>
        <v>12301.900000000001</v>
      </c>
      <c r="G29" s="4">
        <f>((F29-D29)/D29)*100</f>
        <v>1186.9442410293966</v>
      </c>
      <c r="H29" s="12">
        <v>2177.6999999999998</v>
      </c>
      <c r="I29" s="12">
        <v>2308.4</v>
      </c>
      <c r="J29" s="4">
        <f>((I29-H29)/H29)*100</f>
        <v>6.0017449602792068</v>
      </c>
      <c r="K29" s="12">
        <v>2446.9</v>
      </c>
      <c r="L29" s="4">
        <f t="shared" si="2"/>
        <v>5.9998267198059256</v>
      </c>
      <c r="M29" s="12">
        <v>2593.6999999999998</v>
      </c>
      <c r="N29" s="4">
        <f t="shared" si="3"/>
        <v>5.9994278474804741</v>
      </c>
      <c r="O29" s="12">
        <v>2775.2</v>
      </c>
      <c r="P29" s="4">
        <f t="shared" si="4"/>
        <v>6.9977252573543591</v>
      </c>
      <c r="Q29" s="96"/>
      <c r="R29" s="13">
        <v>39019.1</v>
      </c>
      <c r="S29" s="13">
        <v>41714.26</v>
      </c>
      <c r="T29" s="13">
        <v>44558.76</v>
      </c>
      <c r="U29" s="14">
        <v>47561.19</v>
      </c>
      <c r="V29" s="97">
        <f t="shared" ref="V29:V30" si="17">H29/12*3</f>
        <v>544.42499999999995</v>
      </c>
      <c r="W29" s="95">
        <v>544.42999999999995</v>
      </c>
      <c r="X29" s="94">
        <f t="shared" ref="X29:X30" si="18">W29/H29*100</f>
        <v>25.000229600036739</v>
      </c>
      <c r="Y29" s="93"/>
      <c r="Z29" s="69">
        <f t="shared" si="5"/>
        <v>4.5920007347201182</v>
      </c>
    </row>
    <row r="30" spans="1:26" ht="29.25" customHeight="1" thickBot="1" x14ac:dyDescent="0.3">
      <c r="A30" s="7"/>
      <c r="B30" s="7" t="s">
        <v>32</v>
      </c>
      <c r="C30" s="8" t="s">
        <v>13</v>
      </c>
      <c r="D30" s="12">
        <v>14299.2</v>
      </c>
      <c r="E30" s="4" t="e">
        <f>((#REF!-#REF!)/#REF!)*100</f>
        <v>#REF!</v>
      </c>
      <c r="F30" s="9">
        <f>H30+I30+K30+M30+O30</f>
        <v>273207.25</v>
      </c>
      <c r="G30" s="4">
        <f>((F30-D30)/D30)*100</f>
        <v>1810.6470991384133</v>
      </c>
      <c r="H30" s="9">
        <v>49002.2</v>
      </c>
      <c r="I30" s="9">
        <v>51697.36</v>
      </c>
      <c r="J30" s="4">
        <f>((I30-H30)/H30)*100</f>
        <v>5.5000795882633913</v>
      </c>
      <c r="K30" s="9">
        <v>54541.86</v>
      </c>
      <c r="L30" s="4">
        <f t="shared" si="2"/>
        <v>5.5022152001572229</v>
      </c>
      <c r="M30" s="9">
        <v>57544.29</v>
      </c>
      <c r="N30" s="4">
        <f t="shared" si="3"/>
        <v>5.504817767490878</v>
      </c>
      <c r="O30" s="9">
        <v>60421.54</v>
      </c>
      <c r="P30" s="4">
        <f t="shared" si="4"/>
        <v>5.0000616916117995</v>
      </c>
      <c r="Q30" s="96"/>
      <c r="R30" s="15">
        <v>9983.1</v>
      </c>
      <c r="S30" s="15">
        <v>9983.1</v>
      </c>
      <c r="T30" s="15">
        <v>9983.1</v>
      </c>
      <c r="U30" s="16">
        <v>9983.1</v>
      </c>
      <c r="V30" s="97">
        <f t="shared" si="17"/>
        <v>12250.55</v>
      </c>
      <c r="W30" s="95">
        <v>17836</v>
      </c>
      <c r="X30" s="94">
        <f t="shared" si="18"/>
        <v>36.398365787658513</v>
      </c>
      <c r="Y30" s="91"/>
      <c r="Z30" s="69">
        <f t="shared" si="5"/>
        <v>0.20407247021562297</v>
      </c>
    </row>
    <row r="31" spans="1:26" ht="15" customHeight="1" x14ac:dyDescent="0.25">
      <c r="A31" s="7"/>
      <c r="B31" s="7" t="s">
        <v>33</v>
      </c>
      <c r="C31" s="8" t="s">
        <v>13</v>
      </c>
      <c r="D31" s="65"/>
      <c r="E31" s="4"/>
      <c r="F31" s="92"/>
      <c r="G31" s="4"/>
      <c r="H31" s="9"/>
      <c r="I31" s="9"/>
      <c r="J31" s="4"/>
      <c r="K31" s="9"/>
      <c r="L31" s="4"/>
      <c r="M31" s="9"/>
      <c r="N31" s="4"/>
      <c r="O31" s="9"/>
      <c r="P31" s="4"/>
      <c r="Q31" s="96"/>
      <c r="R31" s="98">
        <f>R30+R29</f>
        <v>49002.2</v>
      </c>
      <c r="S31" s="98">
        <f t="shared" ref="S31:U31" si="19">S30+S29</f>
        <v>51697.36</v>
      </c>
      <c r="T31" s="98">
        <f t="shared" si="19"/>
        <v>54541.86</v>
      </c>
      <c r="U31" s="98">
        <f t="shared" si="19"/>
        <v>57544.29</v>
      </c>
      <c r="V31" s="97"/>
      <c r="W31" s="95"/>
      <c r="X31" s="95"/>
      <c r="Y31" s="93"/>
      <c r="Z31" s="69"/>
    </row>
    <row r="32" spans="1:26" ht="15.75" customHeight="1" x14ac:dyDescent="0.25">
      <c r="A32" s="72" t="s">
        <v>34</v>
      </c>
      <c r="B32" s="3" t="s">
        <v>35</v>
      </c>
      <c r="C32" s="72" t="s">
        <v>13</v>
      </c>
      <c r="D32" s="4">
        <v>9908.7999999999993</v>
      </c>
      <c r="E32" s="4" t="e">
        <f>((#REF!-#REF!)/#REF!)*100</f>
        <v>#REF!</v>
      </c>
      <c r="F32" s="4">
        <f>F34</f>
        <v>244558.247</v>
      </c>
      <c r="G32" s="4">
        <f>((F32-D32)/D32)*100</f>
        <v>2368.0914641530762</v>
      </c>
      <c r="H32" s="4">
        <f>H34</f>
        <v>51578.687000000005</v>
      </c>
      <c r="I32" s="4">
        <f t="shared" ref="I32:O32" si="20">I34</f>
        <v>46737.345999999998</v>
      </c>
      <c r="J32" s="4">
        <f>((I32-H32)/H32)*100</f>
        <v>-9.386320749110979</v>
      </c>
      <c r="K32" s="4">
        <f t="shared" si="20"/>
        <v>48495.044999999998</v>
      </c>
      <c r="L32" s="4">
        <f t="shared" si="2"/>
        <v>3.7608019077506043</v>
      </c>
      <c r="M32" s="4">
        <f t="shared" si="20"/>
        <v>50358.313000000002</v>
      </c>
      <c r="N32" s="4">
        <f t="shared" si="3"/>
        <v>3.8421822270708352</v>
      </c>
      <c r="O32" s="4">
        <f t="shared" si="20"/>
        <v>47388.856</v>
      </c>
      <c r="P32" s="4">
        <f t="shared" si="4"/>
        <v>-5.8966570226449049</v>
      </c>
      <c r="Q32" s="96"/>
      <c r="R32" s="98"/>
      <c r="S32" s="98"/>
      <c r="T32" s="98"/>
      <c r="U32" s="98"/>
      <c r="V32" s="106">
        <f>H32/12*3</f>
        <v>12894.671750000001</v>
      </c>
      <c r="W32" s="108">
        <v>23156.3</v>
      </c>
      <c r="X32" s="99">
        <f>W32/H32*100</f>
        <v>44.895093975540703</v>
      </c>
      <c r="Y32" s="93"/>
      <c r="Z32" s="69">
        <f t="shared" si="5"/>
        <v>0.1938785297113127</v>
      </c>
    </row>
    <row r="33" spans="1:26" ht="14.25" customHeight="1" x14ac:dyDescent="0.25">
      <c r="A33" s="3"/>
      <c r="B33" s="7" t="s">
        <v>27</v>
      </c>
      <c r="C33" s="72"/>
      <c r="D33" s="92"/>
      <c r="E33" s="4"/>
      <c r="F33" s="92"/>
      <c r="G33" s="4"/>
      <c r="H33" s="47"/>
      <c r="I33" s="47"/>
      <c r="J33" s="4"/>
      <c r="K33" s="47"/>
      <c r="L33" s="4"/>
      <c r="M33" s="95"/>
      <c r="N33" s="4"/>
      <c r="O33" s="95"/>
      <c r="P33" s="4"/>
      <c r="Q33" s="96"/>
      <c r="R33" s="96"/>
      <c r="S33" s="96"/>
      <c r="T33" s="96"/>
      <c r="U33" s="96"/>
      <c r="V33" s="97"/>
      <c r="W33" s="95"/>
      <c r="X33" s="95"/>
      <c r="Y33" s="93"/>
      <c r="Z33" s="69"/>
    </row>
    <row r="34" spans="1:26" ht="30" customHeight="1" x14ac:dyDescent="0.25">
      <c r="A34" s="73">
        <v>6</v>
      </c>
      <c r="B34" s="3" t="s">
        <v>36</v>
      </c>
      <c r="C34" s="72" t="s">
        <v>13</v>
      </c>
      <c r="D34" s="4">
        <v>9908.7999999999993</v>
      </c>
      <c r="E34" s="4" t="e">
        <f>((#REF!-#REF!)/#REF!)*100</f>
        <v>#REF!</v>
      </c>
      <c r="F34" s="4">
        <f>F36+F37+F38+F39</f>
        <v>244558.247</v>
      </c>
      <c r="G34" s="4">
        <f>((F34-D34)/D34)*100</f>
        <v>2368.0914641530762</v>
      </c>
      <c r="H34" s="4">
        <f>H36+H37+H38+H39</f>
        <v>51578.687000000005</v>
      </c>
      <c r="I34" s="4">
        <f t="shared" ref="I34:O34" si="21">I36+I37+I38+I39</f>
        <v>46737.345999999998</v>
      </c>
      <c r="J34" s="4">
        <f>((I34-H34)/H34)*100</f>
        <v>-9.386320749110979</v>
      </c>
      <c r="K34" s="4">
        <f t="shared" si="21"/>
        <v>48495.044999999998</v>
      </c>
      <c r="L34" s="4">
        <f t="shared" si="2"/>
        <v>3.7608019077506043</v>
      </c>
      <c r="M34" s="4">
        <f t="shared" si="21"/>
        <v>50358.313000000002</v>
      </c>
      <c r="N34" s="4">
        <f t="shared" si="3"/>
        <v>3.8421822270708352</v>
      </c>
      <c r="O34" s="4">
        <f t="shared" si="21"/>
        <v>47388.856</v>
      </c>
      <c r="P34" s="4">
        <f t="shared" si="4"/>
        <v>-5.8966570226449049</v>
      </c>
      <c r="Q34" s="96"/>
      <c r="R34" s="96"/>
      <c r="S34" s="96"/>
      <c r="T34" s="96"/>
      <c r="U34" s="96"/>
      <c r="V34" s="106">
        <f>H34/12*3</f>
        <v>12894.671750000001</v>
      </c>
      <c r="W34" s="108">
        <v>23156.3</v>
      </c>
      <c r="X34" s="99">
        <f>W34/H34*100</f>
        <v>44.895093975540703</v>
      </c>
      <c r="Y34" s="91"/>
      <c r="Z34" s="69">
        <f t="shared" si="5"/>
        <v>0.1938785297113127</v>
      </c>
    </row>
    <row r="35" spans="1:26" ht="16.5" customHeight="1" x14ac:dyDescent="0.25">
      <c r="A35" s="3"/>
      <c r="B35" s="7" t="s">
        <v>27</v>
      </c>
      <c r="C35" s="72"/>
      <c r="D35" s="92"/>
      <c r="E35" s="4"/>
      <c r="F35" s="92"/>
      <c r="G35" s="4"/>
      <c r="H35" s="47"/>
      <c r="I35" s="47"/>
      <c r="J35" s="4"/>
      <c r="K35" s="47"/>
      <c r="L35" s="4"/>
      <c r="M35" s="95"/>
      <c r="N35" s="4"/>
      <c r="O35" s="95"/>
      <c r="P35" s="4"/>
      <c r="Q35" s="96"/>
      <c r="R35" s="96"/>
      <c r="S35" s="96"/>
      <c r="T35" s="96"/>
      <c r="U35" s="96"/>
      <c r="V35" s="97"/>
      <c r="W35" s="95"/>
      <c r="X35" s="95"/>
      <c r="Y35" s="93"/>
      <c r="Z35" s="69"/>
    </row>
    <row r="36" spans="1:26" ht="28.5" customHeight="1" x14ac:dyDescent="0.25">
      <c r="A36" s="6">
        <v>6.1</v>
      </c>
      <c r="B36" s="7" t="s">
        <v>37</v>
      </c>
      <c r="C36" s="8" t="s">
        <v>13</v>
      </c>
      <c r="D36" s="9">
        <v>4424.6000000000004</v>
      </c>
      <c r="E36" s="4" t="e">
        <f>((#REF!-#REF!)/#REF!)*100</f>
        <v>#REF!</v>
      </c>
      <c r="F36" s="9">
        <f>H36+I36+K36+M36+O36</f>
        <v>100067.70000000001</v>
      </c>
      <c r="G36" s="4">
        <f>((F36-D36)/D36)*100</f>
        <v>2161.621389504136</v>
      </c>
      <c r="H36" s="9">
        <v>17781.7</v>
      </c>
      <c r="I36" s="9">
        <v>18848.599999999999</v>
      </c>
      <c r="J36" s="4">
        <f>((I36-H36)/H36)*100</f>
        <v>5.999988752481471</v>
      </c>
      <c r="K36" s="9">
        <v>19979.5</v>
      </c>
      <c r="L36" s="4">
        <f t="shared" si="2"/>
        <v>5.9999151130588029</v>
      </c>
      <c r="M36" s="9">
        <v>21178.3</v>
      </c>
      <c r="N36" s="4">
        <f t="shared" si="3"/>
        <v>6.000150153907752</v>
      </c>
      <c r="O36" s="9">
        <v>22279.599999999999</v>
      </c>
      <c r="P36" s="4">
        <f t="shared" si="4"/>
        <v>5.2001340995263989</v>
      </c>
      <c r="Q36" s="96"/>
      <c r="R36" s="96"/>
      <c r="S36" s="96"/>
      <c r="T36" s="96"/>
      <c r="U36" s="96"/>
      <c r="V36" s="97">
        <f t="shared" ref="V36:V39" si="22">H36/12*3</f>
        <v>4445.4250000000002</v>
      </c>
      <c r="W36" s="95">
        <v>7459.4</v>
      </c>
      <c r="X36" s="94">
        <f t="shared" ref="X36:X45" si="23">W36/H36*100</f>
        <v>41.949869809973173</v>
      </c>
      <c r="Y36" s="91"/>
      <c r="Z36" s="69">
        <f t="shared" si="5"/>
        <v>0.56237592581136786</v>
      </c>
    </row>
    <row r="37" spans="1:26" ht="16.5" customHeight="1" x14ac:dyDescent="0.25">
      <c r="A37" s="6">
        <v>6.2</v>
      </c>
      <c r="B37" s="7" t="s">
        <v>24</v>
      </c>
      <c r="C37" s="8" t="s">
        <v>13</v>
      </c>
      <c r="D37" s="8">
        <v>765.5</v>
      </c>
      <c r="E37" s="4" t="e">
        <f>((#REF!-#REF!)/#REF!)*100</f>
        <v>#REF!</v>
      </c>
      <c r="F37" s="9">
        <f t="shared" ref="F37:F51" si="24">H37+I37+K37+M37+O37</f>
        <v>11007.446999999998</v>
      </c>
      <c r="G37" s="4">
        <f>((F37-D37)/D37)*100</f>
        <v>1337.9421293272369</v>
      </c>
      <c r="H37" s="9">
        <f>(H36/100)*11</f>
        <v>1955.9870000000001</v>
      </c>
      <c r="I37" s="9">
        <f t="shared" ref="I37:O37" si="25">(I36/100)*11</f>
        <v>2073.346</v>
      </c>
      <c r="J37" s="4">
        <f>((I37-H37)/H37)*100</f>
        <v>5.9999887524814799</v>
      </c>
      <c r="K37" s="9">
        <f t="shared" si="25"/>
        <v>2197.7449999999999</v>
      </c>
      <c r="L37" s="4">
        <f t="shared" si="2"/>
        <v>5.9999151130587896</v>
      </c>
      <c r="M37" s="9">
        <f t="shared" si="25"/>
        <v>2329.6129999999998</v>
      </c>
      <c r="N37" s="4">
        <f t="shared" si="3"/>
        <v>6.0001501539077529</v>
      </c>
      <c r="O37" s="9">
        <f t="shared" si="25"/>
        <v>2450.7559999999999</v>
      </c>
      <c r="P37" s="4">
        <f t="shared" si="4"/>
        <v>5.2001340995264034</v>
      </c>
      <c r="Q37" s="96"/>
      <c r="R37" s="96"/>
      <c r="S37" s="96"/>
      <c r="T37" s="96"/>
      <c r="U37" s="96"/>
      <c r="V37" s="97">
        <f t="shared" si="22"/>
        <v>488.99675000000002</v>
      </c>
      <c r="W37" s="95">
        <v>742.8</v>
      </c>
      <c r="X37" s="94">
        <f t="shared" si="23"/>
        <v>37.975712517516733</v>
      </c>
      <c r="Y37" s="93"/>
      <c r="Z37" s="69">
        <f t="shared" si="5"/>
        <v>5.112508416466981</v>
      </c>
    </row>
    <row r="38" spans="1:26" ht="17.25" customHeight="1" x14ac:dyDescent="0.25">
      <c r="A38" s="6">
        <v>6.3</v>
      </c>
      <c r="B38" s="7" t="s">
        <v>33</v>
      </c>
      <c r="C38" s="8" t="s">
        <v>13</v>
      </c>
      <c r="D38" s="9">
        <v>4515.6000000000004</v>
      </c>
      <c r="E38" s="4" t="e">
        <f>((#REF!-#REF!)/#REF!)*100</f>
        <v>#REF!</v>
      </c>
      <c r="F38" s="9">
        <f t="shared" si="24"/>
        <v>44412.5</v>
      </c>
      <c r="G38" s="4">
        <f>((F38-D38)/D38)*100</f>
        <v>883.53485694038443</v>
      </c>
      <c r="H38" s="9">
        <v>8882.5</v>
      </c>
      <c r="I38" s="9">
        <v>8882.5</v>
      </c>
      <c r="J38" s="4">
        <f>((I38-H38)/H38)*100</f>
        <v>0</v>
      </c>
      <c r="K38" s="9">
        <v>8882.5</v>
      </c>
      <c r="L38" s="4">
        <f t="shared" si="2"/>
        <v>0</v>
      </c>
      <c r="M38" s="9">
        <v>8882.5</v>
      </c>
      <c r="N38" s="4">
        <f t="shared" si="3"/>
        <v>0</v>
      </c>
      <c r="O38" s="9">
        <v>8882.5</v>
      </c>
      <c r="P38" s="4">
        <f t="shared" si="4"/>
        <v>0</v>
      </c>
      <c r="Q38" s="96"/>
      <c r="R38" s="96"/>
      <c r="S38" s="96"/>
      <c r="T38" s="96"/>
      <c r="U38" s="96"/>
      <c r="V38" s="97">
        <f t="shared" si="22"/>
        <v>2220.625</v>
      </c>
      <c r="W38" s="95">
        <v>5023</v>
      </c>
      <c r="X38" s="94">
        <f t="shared" si="23"/>
        <v>56.549394877568247</v>
      </c>
      <c r="Y38" s="93"/>
      <c r="Z38" s="69">
        <f t="shared" si="5"/>
        <v>1.125809175344779</v>
      </c>
    </row>
    <row r="39" spans="1:26" ht="18" customHeight="1" x14ac:dyDescent="0.25">
      <c r="A39" s="17">
        <v>6.4</v>
      </c>
      <c r="B39" s="18" t="s">
        <v>38</v>
      </c>
      <c r="C39" s="19" t="s">
        <v>13</v>
      </c>
      <c r="D39" s="19">
        <v>203.1</v>
      </c>
      <c r="E39" s="4" t="e">
        <f>((#REF!-#REF!)/#REF!)*100</f>
        <v>#REF!</v>
      </c>
      <c r="F39" s="9">
        <f t="shared" si="24"/>
        <v>89070.6</v>
      </c>
      <c r="G39" s="4">
        <f>((F39-D39)/D39)*100</f>
        <v>43755.539143279173</v>
      </c>
      <c r="H39" s="20">
        <f>H41+H42+H43+H44+H45+H46+H47+H48+H49+H50+H51</f>
        <v>22958.5</v>
      </c>
      <c r="I39" s="20">
        <f t="shared" ref="I39:O39" si="26">I41+I42+I43+I44+I45+I46+I47+I48+I49+I50+I51</f>
        <v>16932.899999999998</v>
      </c>
      <c r="J39" s="4">
        <f>((I39-H39)/H39)*100</f>
        <v>-26.245617091708962</v>
      </c>
      <c r="K39" s="20">
        <f t="shared" si="26"/>
        <v>17435.3</v>
      </c>
      <c r="L39" s="4">
        <f t="shared" si="2"/>
        <v>2.9670050611531487</v>
      </c>
      <c r="M39" s="20">
        <f t="shared" si="26"/>
        <v>17967.900000000001</v>
      </c>
      <c r="N39" s="4">
        <f t="shared" si="3"/>
        <v>3.0547223162205537</v>
      </c>
      <c r="O39" s="20">
        <f t="shared" si="26"/>
        <v>13776</v>
      </c>
      <c r="P39" s="4">
        <f t="shared" si="4"/>
        <v>-23.329938390129072</v>
      </c>
      <c r="Q39" s="96"/>
      <c r="R39" s="96"/>
      <c r="S39" s="96"/>
      <c r="T39" s="96"/>
      <c r="U39" s="96"/>
      <c r="V39" s="97">
        <f t="shared" si="22"/>
        <v>5739.625</v>
      </c>
      <c r="W39" s="95">
        <v>9931.1</v>
      </c>
      <c r="X39" s="94">
        <f t="shared" si="23"/>
        <v>43.256745867543614</v>
      </c>
      <c r="Y39" s="93"/>
      <c r="Z39" s="69">
        <f t="shared" si="5"/>
        <v>0.43556852581832439</v>
      </c>
    </row>
    <row r="40" spans="1:26" ht="16.5" customHeight="1" x14ac:dyDescent="0.25">
      <c r="A40" s="7"/>
      <c r="B40" s="7" t="s">
        <v>27</v>
      </c>
      <c r="C40" s="8"/>
      <c r="D40" s="92"/>
      <c r="E40" s="4"/>
      <c r="F40" s="9">
        <f t="shared" si="24"/>
        <v>0</v>
      </c>
      <c r="G40" s="4"/>
      <c r="H40" s="47"/>
      <c r="I40" s="47"/>
      <c r="J40" s="4"/>
      <c r="K40" s="47"/>
      <c r="L40" s="4"/>
      <c r="M40" s="95"/>
      <c r="N40" s="4"/>
      <c r="O40" s="95"/>
      <c r="P40" s="4"/>
      <c r="Q40" s="96"/>
      <c r="R40" s="96"/>
      <c r="S40" s="96"/>
      <c r="T40" s="96"/>
      <c r="U40" s="96"/>
      <c r="V40" s="97"/>
      <c r="W40" s="95"/>
      <c r="X40" s="94"/>
      <c r="Y40" s="93"/>
      <c r="Z40" s="69"/>
    </row>
    <row r="41" spans="1:26" ht="15.75" customHeight="1" x14ac:dyDescent="0.25">
      <c r="A41" s="18"/>
      <c r="B41" s="18" t="s">
        <v>25</v>
      </c>
      <c r="C41" s="19" t="s">
        <v>13</v>
      </c>
      <c r="D41" s="92"/>
      <c r="E41" s="4" t="e">
        <f>((#REF!-#REF!)/#REF!)*100</f>
        <v>#REF!</v>
      </c>
      <c r="F41" s="9">
        <f t="shared" si="24"/>
        <v>922.5</v>
      </c>
      <c r="G41" s="4"/>
      <c r="H41" s="19">
        <v>184.5</v>
      </c>
      <c r="I41" s="19">
        <v>184.5</v>
      </c>
      <c r="J41" s="4">
        <f t="shared" ref="J41:J51" si="27">((I41-H41)/H41)*100</f>
        <v>0</v>
      </c>
      <c r="K41" s="19">
        <v>184.5</v>
      </c>
      <c r="L41" s="4">
        <f t="shared" si="2"/>
        <v>0</v>
      </c>
      <c r="M41" s="19">
        <v>184.5</v>
      </c>
      <c r="N41" s="4">
        <f t="shared" si="3"/>
        <v>0</v>
      </c>
      <c r="O41" s="19">
        <v>184.5</v>
      </c>
      <c r="P41" s="4">
        <f t="shared" si="4"/>
        <v>0</v>
      </c>
      <c r="Q41" s="96"/>
      <c r="R41" s="96"/>
      <c r="S41" s="96"/>
      <c r="T41" s="96"/>
      <c r="U41" s="96"/>
      <c r="V41" s="97">
        <f t="shared" ref="V41:V51" si="28">H41/12*3</f>
        <v>46.125</v>
      </c>
      <c r="W41" s="95">
        <v>191.7</v>
      </c>
      <c r="X41" s="94">
        <f t="shared" si="23"/>
        <v>103.90243902439025</v>
      </c>
      <c r="Y41" s="93"/>
      <c r="Z41" s="69">
        <f t="shared" si="5"/>
        <v>54.200542005420061</v>
      </c>
    </row>
    <row r="42" spans="1:26" ht="19.5" customHeight="1" x14ac:dyDescent="0.25">
      <c r="A42" s="18"/>
      <c r="B42" s="18" t="s">
        <v>39</v>
      </c>
      <c r="C42" s="19" t="s">
        <v>13</v>
      </c>
      <c r="D42" s="92"/>
      <c r="E42" s="4" t="e">
        <f>((#REF!-#REF!)/#REF!)*100</f>
        <v>#REF!</v>
      </c>
      <c r="F42" s="9">
        <f t="shared" si="24"/>
        <v>4069.5</v>
      </c>
      <c r="G42" s="4"/>
      <c r="H42" s="19">
        <v>813.9</v>
      </c>
      <c r="I42" s="19">
        <v>813.9</v>
      </c>
      <c r="J42" s="4">
        <f t="shared" si="27"/>
        <v>0</v>
      </c>
      <c r="K42" s="19">
        <v>813.9</v>
      </c>
      <c r="L42" s="4">
        <f t="shared" si="2"/>
        <v>0</v>
      </c>
      <c r="M42" s="19">
        <v>813.9</v>
      </c>
      <c r="N42" s="4">
        <f t="shared" si="3"/>
        <v>0</v>
      </c>
      <c r="O42" s="19">
        <v>813.9</v>
      </c>
      <c r="P42" s="4">
        <f t="shared" si="4"/>
        <v>0</v>
      </c>
      <c r="Q42" s="96"/>
      <c r="R42" s="96"/>
      <c r="S42" s="96"/>
      <c r="T42" s="96"/>
      <c r="U42" s="96"/>
      <c r="V42" s="97">
        <f t="shared" si="28"/>
        <v>203.47500000000002</v>
      </c>
      <c r="W42" s="95">
        <v>143.19999999999999</v>
      </c>
      <c r="X42" s="94">
        <f t="shared" si="23"/>
        <v>17.594299053937828</v>
      </c>
      <c r="Y42" s="93"/>
      <c r="Z42" s="69">
        <f t="shared" si="5"/>
        <v>12.286521685710774</v>
      </c>
    </row>
    <row r="43" spans="1:26" ht="38.25" customHeight="1" thickBot="1" x14ac:dyDescent="0.3">
      <c r="A43" s="18"/>
      <c r="B43" s="18" t="s">
        <v>70</v>
      </c>
      <c r="C43" s="19"/>
      <c r="D43" s="92"/>
      <c r="E43" s="4" t="e">
        <f>((#REF!-#REF!)/#REF!)*100</f>
        <v>#REF!</v>
      </c>
      <c r="F43" s="9">
        <f t="shared" si="24"/>
        <v>42536.4</v>
      </c>
      <c r="G43" s="4"/>
      <c r="H43" s="19">
        <f>R43*2</f>
        <v>13465.6</v>
      </c>
      <c r="I43" s="19">
        <f>S43*2</f>
        <v>7195</v>
      </c>
      <c r="J43" s="4">
        <f t="shared" si="27"/>
        <v>-46.567549904942965</v>
      </c>
      <c r="K43" s="19">
        <f>T43*2</f>
        <v>7440.2</v>
      </c>
      <c r="L43" s="4">
        <f t="shared" si="2"/>
        <v>3.4079221681723393</v>
      </c>
      <c r="M43" s="19">
        <f>U43*2</f>
        <v>7702.8</v>
      </c>
      <c r="N43" s="4">
        <f t="shared" si="3"/>
        <v>3.5294750141125291</v>
      </c>
      <c r="O43" s="19">
        <f t="shared" ref="O43" si="29">V43*2</f>
        <v>6732.8000000000011</v>
      </c>
      <c r="P43" s="4">
        <f t="shared" si="4"/>
        <v>-12.59282338889753</v>
      </c>
      <c r="Q43" s="96"/>
      <c r="R43" s="21">
        <v>6732.8</v>
      </c>
      <c r="S43" s="21">
        <v>3597.5</v>
      </c>
      <c r="T43" s="21">
        <v>3720.1</v>
      </c>
      <c r="U43" s="22">
        <v>3851.4</v>
      </c>
      <c r="V43" s="97">
        <f t="shared" si="28"/>
        <v>3366.4000000000005</v>
      </c>
      <c r="W43" s="95">
        <v>7614.7</v>
      </c>
      <c r="X43" s="94">
        <f t="shared" si="23"/>
        <v>56.549281131178709</v>
      </c>
      <c r="Y43" s="91"/>
      <c r="Z43" s="69">
        <f t="shared" si="5"/>
        <v>0.74263307984790872</v>
      </c>
    </row>
    <row r="44" spans="1:26" ht="25.5" customHeight="1" x14ac:dyDescent="0.25">
      <c r="A44" s="18"/>
      <c r="B44" s="18" t="s">
        <v>40</v>
      </c>
      <c r="C44" s="19" t="s">
        <v>13</v>
      </c>
      <c r="D44" s="19">
        <v>46</v>
      </c>
      <c r="E44" s="4" t="e">
        <f>((#REF!-#REF!)/#REF!)*100</f>
        <v>#REF!</v>
      </c>
      <c r="F44" s="9">
        <f t="shared" si="24"/>
        <v>1512</v>
      </c>
      <c r="G44" s="4">
        <f>((F44-D44)/D44)*100</f>
        <v>3186.9565217391305</v>
      </c>
      <c r="H44" s="19">
        <v>302.39999999999998</v>
      </c>
      <c r="I44" s="19">
        <v>302.39999999999998</v>
      </c>
      <c r="J44" s="4">
        <f t="shared" si="27"/>
        <v>0</v>
      </c>
      <c r="K44" s="19">
        <v>302.39999999999998</v>
      </c>
      <c r="L44" s="4">
        <f t="shared" si="2"/>
        <v>0</v>
      </c>
      <c r="M44" s="19">
        <v>302.39999999999998</v>
      </c>
      <c r="N44" s="4">
        <f t="shared" si="3"/>
        <v>0</v>
      </c>
      <c r="O44" s="19">
        <v>302.39999999999998</v>
      </c>
      <c r="P44" s="4">
        <f t="shared" si="4"/>
        <v>0</v>
      </c>
      <c r="Q44" s="96"/>
      <c r="R44" s="96"/>
      <c r="S44" s="96"/>
      <c r="T44" s="96"/>
      <c r="U44" s="96"/>
      <c r="V44" s="97">
        <f t="shared" si="28"/>
        <v>75.599999999999994</v>
      </c>
      <c r="W44" s="95">
        <v>112</v>
      </c>
      <c r="X44" s="94">
        <f t="shared" si="23"/>
        <v>37.037037037037038</v>
      </c>
      <c r="Y44" s="93"/>
      <c r="Z44" s="69">
        <f t="shared" si="5"/>
        <v>33.06878306878307</v>
      </c>
    </row>
    <row r="45" spans="1:26" ht="15.75" customHeight="1" x14ac:dyDescent="0.25">
      <c r="A45" s="18"/>
      <c r="B45" s="18" t="s">
        <v>41</v>
      </c>
      <c r="C45" s="19" t="s">
        <v>13</v>
      </c>
      <c r="D45" s="19">
        <v>157.1</v>
      </c>
      <c r="E45" s="4" t="e">
        <f>((#REF!-#REF!)/#REF!)*100</f>
        <v>#REF!</v>
      </c>
      <c r="F45" s="9">
        <f t="shared" si="24"/>
        <v>5614.5</v>
      </c>
      <c r="G45" s="4">
        <f>((F45-D45)/D45)*100</f>
        <v>3473.8383195416927</v>
      </c>
      <c r="H45" s="20">
        <v>1122.9000000000001</v>
      </c>
      <c r="I45" s="20">
        <v>1122.9000000000001</v>
      </c>
      <c r="J45" s="4">
        <f t="shared" si="27"/>
        <v>0</v>
      </c>
      <c r="K45" s="20">
        <v>1122.9000000000001</v>
      </c>
      <c r="L45" s="4">
        <f t="shared" si="2"/>
        <v>0</v>
      </c>
      <c r="M45" s="20">
        <v>1122.9000000000001</v>
      </c>
      <c r="N45" s="4">
        <f t="shared" si="3"/>
        <v>0</v>
      </c>
      <c r="O45" s="20">
        <v>1122.9000000000001</v>
      </c>
      <c r="P45" s="4">
        <f t="shared" si="4"/>
        <v>0</v>
      </c>
      <c r="Q45" s="96"/>
      <c r="R45" s="98"/>
      <c r="S45" s="98"/>
      <c r="T45" s="98"/>
      <c r="U45" s="98"/>
      <c r="V45" s="97">
        <f t="shared" si="28"/>
        <v>280.72500000000002</v>
      </c>
      <c r="W45" s="95">
        <v>396</v>
      </c>
      <c r="X45" s="94">
        <f t="shared" si="23"/>
        <v>35.265829548490515</v>
      </c>
      <c r="Y45" s="93"/>
      <c r="Z45" s="69">
        <f t="shared" si="5"/>
        <v>8.90551251224508</v>
      </c>
    </row>
    <row r="46" spans="1:26" ht="18.75" customHeight="1" x14ac:dyDescent="0.25">
      <c r="A46" s="18"/>
      <c r="B46" s="18" t="s">
        <v>42</v>
      </c>
      <c r="C46" s="19" t="s">
        <v>13</v>
      </c>
      <c r="D46" s="92"/>
      <c r="E46" s="4" t="e">
        <f>((#REF!-#REF!)/#REF!)*100</f>
        <v>#REF!</v>
      </c>
      <c r="F46" s="9">
        <f t="shared" si="24"/>
        <v>3972</v>
      </c>
      <c r="G46" s="4"/>
      <c r="H46" s="19">
        <v>794.4</v>
      </c>
      <c r="I46" s="19">
        <v>794.4</v>
      </c>
      <c r="J46" s="4">
        <f t="shared" si="27"/>
        <v>0</v>
      </c>
      <c r="K46" s="19">
        <v>794.4</v>
      </c>
      <c r="L46" s="4">
        <f t="shared" si="2"/>
        <v>0</v>
      </c>
      <c r="M46" s="19">
        <v>794.4</v>
      </c>
      <c r="N46" s="4">
        <f t="shared" si="3"/>
        <v>0</v>
      </c>
      <c r="O46" s="19">
        <v>794.4</v>
      </c>
      <c r="P46" s="4">
        <f t="shared" si="4"/>
        <v>0</v>
      </c>
      <c r="Q46" s="96"/>
      <c r="R46" s="96"/>
      <c r="S46" s="96"/>
      <c r="T46" s="96"/>
      <c r="U46" s="96"/>
      <c r="V46" s="97">
        <f t="shared" si="28"/>
        <v>198.60000000000002</v>
      </c>
      <c r="W46" s="95"/>
      <c r="X46" s="94"/>
      <c r="Y46" s="93"/>
      <c r="Z46" s="69" t="e">
        <f t="shared" si="5"/>
        <v>#DIV/0!</v>
      </c>
    </row>
    <row r="47" spans="1:26" ht="18" customHeight="1" x14ac:dyDescent="0.25">
      <c r="A47" s="18"/>
      <c r="B47" s="18" t="s">
        <v>43</v>
      </c>
      <c r="C47" s="19" t="s">
        <v>13</v>
      </c>
      <c r="D47" s="92"/>
      <c r="E47" s="4" t="e">
        <f>((#REF!-#REF!)/#REF!)*100</f>
        <v>#REF!</v>
      </c>
      <c r="F47" s="9">
        <f t="shared" si="24"/>
        <v>2220</v>
      </c>
      <c r="G47" s="4"/>
      <c r="H47" s="19">
        <v>444</v>
      </c>
      <c r="I47" s="19">
        <v>444</v>
      </c>
      <c r="J47" s="4">
        <f t="shared" si="27"/>
        <v>0</v>
      </c>
      <c r="K47" s="19">
        <v>444</v>
      </c>
      <c r="L47" s="4">
        <f t="shared" si="2"/>
        <v>0</v>
      </c>
      <c r="M47" s="19">
        <v>444</v>
      </c>
      <c r="N47" s="4">
        <f t="shared" si="3"/>
        <v>0</v>
      </c>
      <c r="O47" s="19">
        <v>444</v>
      </c>
      <c r="P47" s="4">
        <f t="shared" si="4"/>
        <v>0</v>
      </c>
      <c r="Q47" s="96"/>
      <c r="R47" s="96"/>
      <c r="S47" s="96"/>
      <c r="T47" s="96"/>
      <c r="U47" s="96"/>
      <c r="V47" s="97">
        <f t="shared" si="28"/>
        <v>111</v>
      </c>
      <c r="W47" s="95"/>
      <c r="X47" s="94"/>
      <c r="Y47" s="93"/>
      <c r="Z47" s="69" t="e">
        <f t="shared" si="5"/>
        <v>#DIV/0!</v>
      </c>
    </row>
    <row r="48" spans="1:26" ht="17.25" customHeight="1" x14ac:dyDescent="0.25">
      <c r="A48" s="18"/>
      <c r="B48" s="18" t="s">
        <v>44</v>
      </c>
      <c r="C48" s="19" t="s">
        <v>13</v>
      </c>
      <c r="D48" s="92"/>
      <c r="E48" s="4" t="e">
        <f>((#REF!-#REF!)/#REF!)*100</f>
        <v>#REF!</v>
      </c>
      <c r="F48" s="9">
        <f t="shared" si="24"/>
        <v>777</v>
      </c>
      <c r="G48" s="4"/>
      <c r="H48" s="19">
        <v>155.4</v>
      </c>
      <c r="I48" s="19">
        <v>155.4</v>
      </c>
      <c r="J48" s="4">
        <f t="shared" si="27"/>
        <v>0</v>
      </c>
      <c r="K48" s="19">
        <v>155.4</v>
      </c>
      <c r="L48" s="4">
        <f t="shared" si="2"/>
        <v>0</v>
      </c>
      <c r="M48" s="19">
        <v>155.4</v>
      </c>
      <c r="N48" s="4">
        <f t="shared" si="3"/>
        <v>0</v>
      </c>
      <c r="O48" s="19">
        <v>155.4</v>
      </c>
      <c r="P48" s="4">
        <f t="shared" si="4"/>
        <v>0</v>
      </c>
      <c r="Q48" s="96"/>
      <c r="R48" s="96"/>
      <c r="S48" s="96"/>
      <c r="T48" s="96"/>
      <c r="U48" s="96"/>
      <c r="V48" s="97">
        <f t="shared" si="28"/>
        <v>38.85</v>
      </c>
      <c r="W48" s="95"/>
      <c r="X48" s="94"/>
      <c r="Y48" s="93"/>
      <c r="Z48" s="69" t="e">
        <f t="shared" si="5"/>
        <v>#DIV/0!</v>
      </c>
    </row>
    <row r="49" spans="1:26" ht="27" customHeight="1" x14ac:dyDescent="0.25">
      <c r="A49" s="18"/>
      <c r="B49" s="18" t="s">
        <v>45</v>
      </c>
      <c r="C49" s="19" t="s">
        <v>13</v>
      </c>
      <c r="D49" s="92"/>
      <c r="E49" s="4" t="e">
        <f>((#REF!-#REF!)/#REF!)*100</f>
        <v>#REF!</v>
      </c>
      <c r="F49" s="9">
        <f t="shared" si="24"/>
        <v>3060</v>
      </c>
      <c r="G49" s="4"/>
      <c r="H49" s="19">
        <v>612</v>
      </c>
      <c r="I49" s="19">
        <v>612</v>
      </c>
      <c r="J49" s="4">
        <f t="shared" si="27"/>
        <v>0</v>
      </c>
      <c r="K49" s="19">
        <v>612</v>
      </c>
      <c r="L49" s="4">
        <f t="shared" si="2"/>
        <v>0</v>
      </c>
      <c r="M49" s="19">
        <v>612</v>
      </c>
      <c r="N49" s="4">
        <f t="shared" si="3"/>
        <v>0</v>
      </c>
      <c r="O49" s="19">
        <v>612</v>
      </c>
      <c r="P49" s="4">
        <f t="shared" si="4"/>
        <v>0</v>
      </c>
      <c r="Q49" s="96"/>
      <c r="R49" s="96"/>
      <c r="S49" s="96"/>
      <c r="T49" s="96"/>
      <c r="U49" s="96"/>
      <c r="V49" s="97">
        <f t="shared" si="28"/>
        <v>153</v>
      </c>
      <c r="W49" s="95">
        <v>187.5</v>
      </c>
      <c r="X49" s="94">
        <f t="shared" ref="X49:X50" si="30">W49/H49*100</f>
        <v>30.637254901960787</v>
      </c>
      <c r="Y49" s="93"/>
      <c r="Z49" s="69">
        <f t="shared" si="5"/>
        <v>16.339869281045754</v>
      </c>
    </row>
    <row r="50" spans="1:26" ht="29.25" customHeight="1" thickBot="1" x14ac:dyDescent="0.3">
      <c r="A50" s="18"/>
      <c r="B50" s="18" t="s">
        <v>46</v>
      </c>
      <c r="C50" s="19" t="s">
        <v>13</v>
      </c>
      <c r="D50" s="92"/>
      <c r="E50" s="4" t="e">
        <f>((#REF!-#REF!)/#REF!)*100</f>
        <v>#REF!</v>
      </c>
      <c r="F50" s="9">
        <f t="shared" si="24"/>
        <v>23566.7</v>
      </c>
      <c r="G50" s="4"/>
      <c r="H50" s="20">
        <f>R50*2</f>
        <v>4899.3999999999996</v>
      </c>
      <c r="I50" s="20">
        <f>S50*2</f>
        <v>5144.3999999999996</v>
      </c>
      <c r="J50" s="4">
        <f t="shared" si="27"/>
        <v>5.0006123198759038</v>
      </c>
      <c r="K50" s="20">
        <f>T50*2</f>
        <v>5401.6</v>
      </c>
      <c r="L50" s="4">
        <f t="shared" si="2"/>
        <v>4.9996112277428031</v>
      </c>
      <c r="M50" s="20">
        <f>U50*2</f>
        <v>5671.6</v>
      </c>
      <c r="N50" s="4">
        <f t="shared" si="3"/>
        <v>4.9985189573459712</v>
      </c>
      <c r="O50" s="20">
        <f t="shared" ref="O50" si="31">V50*2</f>
        <v>2449.6999999999998</v>
      </c>
      <c r="P50" s="4">
        <f t="shared" si="4"/>
        <v>-56.807602792862689</v>
      </c>
      <c r="Q50" s="96"/>
      <c r="R50" s="15">
        <v>2449.6999999999998</v>
      </c>
      <c r="S50" s="15">
        <v>2572.1999999999998</v>
      </c>
      <c r="T50" s="15">
        <v>2700.8</v>
      </c>
      <c r="U50" s="16">
        <v>2835.8</v>
      </c>
      <c r="V50" s="97">
        <f t="shared" si="28"/>
        <v>1224.8499999999999</v>
      </c>
      <c r="W50" s="95">
        <v>1286</v>
      </c>
      <c r="X50" s="94">
        <f t="shared" si="30"/>
        <v>26.248112013715968</v>
      </c>
      <c r="Y50" s="91"/>
      <c r="Z50" s="69">
        <f t="shared" si="5"/>
        <v>2.0410662530105728</v>
      </c>
    </row>
    <row r="51" spans="1:26" ht="27.75" customHeight="1" x14ac:dyDescent="0.25">
      <c r="A51" s="18"/>
      <c r="B51" s="18" t="s">
        <v>47</v>
      </c>
      <c r="C51" s="19" t="s">
        <v>13</v>
      </c>
      <c r="D51" s="92"/>
      <c r="E51" s="4" t="e">
        <f>((#REF!-#REF!)/#REF!)*100</f>
        <v>#REF!</v>
      </c>
      <c r="F51" s="9">
        <f t="shared" si="24"/>
        <v>820</v>
      </c>
      <c r="G51" s="4"/>
      <c r="H51" s="19">
        <v>164</v>
      </c>
      <c r="I51" s="19">
        <v>164</v>
      </c>
      <c r="J51" s="4">
        <f t="shared" si="27"/>
        <v>0</v>
      </c>
      <c r="K51" s="19">
        <v>164</v>
      </c>
      <c r="L51" s="4">
        <f t="shared" si="2"/>
        <v>0</v>
      </c>
      <c r="M51" s="19">
        <v>164</v>
      </c>
      <c r="N51" s="4">
        <f t="shared" si="3"/>
        <v>0</v>
      </c>
      <c r="O51" s="19">
        <v>164</v>
      </c>
      <c r="P51" s="4">
        <f t="shared" si="4"/>
        <v>0</v>
      </c>
      <c r="Q51" s="96"/>
      <c r="R51" s="96"/>
      <c r="S51" s="96"/>
      <c r="T51" s="96"/>
      <c r="U51" s="96"/>
      <c r="V51" s="97">
        <f t="shared" si="28"/>
        <v>41</v>
      </c>
      <c r="W51" s="95"/>
      <c r="X51" s="94"/>
      <c r="Y51" s="93"/>
      <c r="Z51" s="69" t="e">
        <f t="shared" si="5"/>
        <v>#DIV/0!</v>
      </c>
    </row>
    <row r="52" spans="1:26" ht="28.5" customHeight="1" x14ac:dyDescent="0.25">
      <c r="A52" s="73">
        <v>7</v>
      </c>
      <c r="B52" s="3" t="s">
        <v>48</v>
      </c>
      <c r="C52" s="72" t="s">
        <v>13</v>
      </c>
      <c r="D52" s="92"/>
      <c r="E52" s="4"/>
      <c r="F52" s="92"/>
      <c r="G52" s="4"/>
      <c r="H52" s="47"/>
      <c r="I52" s="47"/>
      <c r="J52" s="4"/>
      <c r="K52" s="47"/>
      <c r="L52" s="4"/>
      <c r="M52" s="95"/>
      <c r="N52" s="4"/>
      <c r="O52" s="95"/>
      <c r="P52" s="4"/>
      <c r="Q52" s="96"/>
      <c r="R52" s="96"/>
      <c r="S52" s="96"/>
      <c r="T52" s="96"/>
      <c r="U52" s="96"/>
      <c r="V52" s="97"/>
      <c r="W52" s="95"/>
      <c r="X52" s="95"/>
      <c r="Y52" s="93"/>
      <c r="Z52" s="69"/>
    </row>
    <row r="53" spans="1:26" ht="26.25" customHeight="1" x14ac:dyDescent="0.25">
      <c r="A53" s="72" t="s">
        <v>49</v>
      </c>
      <c r="B53" s="3" t="s">
        <v>50</v>
      </c>
      <c r="C53" s="72" t="s">
        <v>13</v>
      </c>
      <c r="D53" s="4">
        <f>D11+D32</f>
        <v>615283.07000000007</v>
      </c>
      <c r="E53" s="4" t="e">
        <f>((#REF!-#REF!)/#REF!)*100</f>
        <v>#REF!</v>
      </c>
      <c r="F53" s="4">
        <f>F11+F32</f>
        <v>3152973.7557728118</v>
      </c>
      <c r="G53" s="4">
        <f>((F53-D53)/D53)*100</f>
        <v>412.44279413909635</v>
      </c>
      <c r="H53" s="4">
        <f>H11+H32</f>
        <v>629496.277</v>
      </c>
      <c r="I53" s="4">
        <f t="shared" ref="I53:O53" si="32">I11+I32</f>
        <v>636212.46560560004</v>
      </c>
      <c r="J53" s="4">
        <f>((I53-H53)/H53)*100</f>
        <v>1.0669147461216892</v>
      </c>
      <c r="K53" s="4">
        <f t="shared" si="32"/>
        <v>633036.58518193604</v>
      </c>
      <c r="L53" s="4">
        <f t="shared" si="2"/>
        <v>-0.49918550725675126</v>
      </c>
      <c r="M53" s="4">
        <f t="shared" si="32"/>
        <v>642228.68199285213</v>
      </c>
      <c r="N53" s="4">
        <f t="shared" si="3"/>
        <v>1.4520640711901764</v>
      </c>
      <c r="O53" s="4">
        <f t="shared" si="32"/>
        <v>611999.7452324233</v>
      </c>
      <c r="P53" s="4">
        <f t="shared" si="4"/>
        <v>-4.706880525271413</v>
      </c>
      <c r="Q53" s="96"/>
      <c r="R53" s="96"/>
      <c r="S53" s="96"/>
      <c r="T53" s="96"/>
      <c r="U53" s="96"/>
      <c r="V53" s="106">
        <f t="shared" ref="V53:V54" si="33">H53/12*3</f>
        <v>157374.06925</v>
      </c>
      <c r="W53" s="108">
        <v>227406.33</v>
      </c>
      <c r="X53" s="99">
        <f>W53/H53*100</f>
        <v>36.12512707521541</v>
      </c>
      <c r="Y53" s="91"/>
      <c r="Z53" s="69">
        <f t="shared" si="5"/>
        <v>1.5885717462313126E-2</v>
      </c>
    </row>
    <row r="54" spans="1:26" ht="21" customHeight="1" x14ac:dyDescent="0.25">
      <c r="A54" s="73" t="s">
        <v>51</v>
      </c>
      <c r="B54" s="3" t="s">
        <v>52</v>
      </c>
      <c r="C54" s="72" t="s">
        <v>13</v>
      </c>
      <c r="D54" s="92"/>
      <c r="E54" s="4" t="e">
        <f>((#REF!-#REF!)/#REF!)*100</f>
        <v>#REF!</v>
      </c>
      <c r="F54" s="4">
        <f t="shared" ref="F54" si="34">H54+I54+K54+M54+O54</f>
        <v>219381.4</v>
      </c>
      <c r="G54" s="4"/>
      <c r="H54" s="4">
        <v>43876.28</v>
      </c>
      <c r="I54" s="4">
        <v>43876.28</v>
      </c>
      <c r="J54" s="4">
        <f>((I54-H54)/H54)*100</f>
        <v>0</v>
      </c>
      <c r="K54" s="4">
        <v>43876.28</v>
      </c>
      <c r="L54" s="4">
        <f t="shared" si="2"/>
        <v>0</v>
      </c>
      <c r="M54" s="4">
        <v>43876.28</v>
      </c>
      <c r="N54" s="4">
        <f t="shared" si="3"/>
        <v>0</v>
      </c>
      <c r="O54" s="4">
        <v>43876.28</v>
      </c>
      <c r="P54" s="4">
        <f t="shared" si="4"/>
        <v>0</v>
      </c>
      <c r="Q54" s="96"/>
      <c r="R54" s="96"/>
      <c r="S54" s="96"/>
      <c r="T54" s="96"/>
      <c r="U54" s="96"/>
      <c r="V54" s="106">
        <f t="shared" si="33"/>
        <v>10969.07</v>
      </c>
      <c r="W54" s="108"/>
      <c r="X54" s="99"/>
      <c r="Y54" s="93"/>
      <c r="Z54" s="69" t="e">
        <f t="shared" si="5"/>
        <v>#DIV/0!</v>
      </c>
    </row>
    <row r="55" spans="1:26" ht="40.5" customHeight="1" x14ac:dyDescent="0.25">
      <c r="A55" s="72" t="s">
        <v>53</v>
      </c>
      <c r="B55" s="3" t="s">
        <v>54</v>
      </c>
      <c r="C55" s="72" t="s">
        <v>13</v>
      </c>
      <c r="D55" s="92"/>
      <c r="E55" s="4"/>
      <c r="F55" s="92"/>
      <c r="G55" s="4"/>
      <c r="H55" s="47"/>
      <c r="I55" s="47"/>
      <c r="J55" s="4"/>
      <c r="K55" s="47"/>
      <c r="L55" s="4"/>
      <c r="M55" s="47"/>
      <c r="N55" s="4"/>
      <c r="O55" s="47"/>
      <c r="P55" s="4"/>
      <c r="Q55" s="96"/>
      <c r="R55" s="96"/>
      <c r="S55" s="96"/>
      <c r="T55" s="96"/>
      <c r="U55" s="96"/>
      <c r="V55" s="97"/>
      <c r="W55" s="95"/>
      <c r="X55" s="95"/>
      <c r="Y55" s="93"/>
      <c r="Z55" s="69"/>
    </row>
    <row r="56" spans="1:26" ht="17.25" customHeight="1" x14ac:dyDescent="0.25">
      <c r="A56" s="72" t="s">
        <v>55</v>
      </c>
      <c r="B56" s="3" t="s">
        <v>56</v>
      </c>
      <c r="C56" s="72" t="s">
        <v>13</v>
      </c>
      <c r="D56" s="4">
        <f>D53</f>
        <v>615283.07000000007</v>
      </c>
      <c r="E56" s="4" t="e">
        <f>((#REF!-#REF!)/#REF!)*100</f>
        <v>#REF!</v>
      </c>
      <c r="F56" s="4">
        <f>F53+F54</f>
        <v>3372355.1557728117</v>
      </c>
      <c r="G56" s="4">
        <f>((F56-D56)/D56)*100</f>
        <v>448.09815517478989</v>
      </c>
      <c r="H56" s="4">
        <f>H53+H54</f>
        <v>673372.55700000003</v>
      </c>
      <c r="I56" s="4">
        <f t="shared" ref="I56:O56" si="35">I53+I54</f>
        <v>680088.74560560007</v>
      </c>
      <c r="J56" s="4">
        <f>((I56-H56)/H56)*100</f>
        <v>0.99739565204764302</v>
      </c>
      <c r="K56" s="4">
        <f t="shared" si="35"/>
        <v>676912.86518193607</v>
      </c>
      <c r="L56" s="4">
        <f t="shared" si="2"/>
        <v>-0.46698029399618513</v>
      </c>
      <c r="M56" s="4">
        <f t="shared" si="35"/>
        <v>686104.96199285216</v>
      </c>
      <c r="N56" s="4">
        <f t="shared" si="3"/>
        <v>1.3579438778203012</v>
      </c>
      <c r="O56" s="4">
        <f t="shared" si="35"/>
        <v>655876.02523242333</v>
      </c>
      <c r="P56" s="4">
        <f t="shared" si="4"/>
        <v>-4.4058764234303487</v>
      </c>
      <c r="Q56" s="96"/>
      <c r="R56" s="96"/>
      <c r="S56" s="96"/>
      <c r="T56" s="96"/>
      <c r="U56" s="96"/>
      <c r="V56" s="106">
        <f t="shared" ref="V56:V57" si="36">H56/12*3</f>
        <v>168343.13925000001</v>
      </c>
      <c r="W56" s="108">
        <v>227406.33</v>
      </c>
      <c r="X56" s="99">
        <f t="shared" ref="X56:X57" si="37">W56/H56*100</f>
        <v>33.771250051106549</v>
      </c>
      <c r="Y56" s="93"/>
      <c r="Z56" s="69">
        <f t="shared" si="5"/>
        <v>1.4850620055785848E-2</v>
      </c>
    </row>
    <row r="57" spans="1:26" ht="27.75" customHeight="1" x14ac:dyDescent="0.25">
      <c r="A57" s="72" t="s">
        <v>57</v>
      </c>
      <c r="B57" s="3" t="s">
        <v>58</v>
      </c>
      <c r="C57" s="72" t="s">
        <v>59</v>
      </c>
      <c r="D57" s="72">
        <v>383</v>
      </c>
      <c r="E57" s="4" t="e">
        <f>((#REF!-#REF!)/#REF!)*100</f>
        <v>#REF!</v>
      </c>
      <c r="F57" s="4">
        <f>H57+I57+K57+M57+O57</f>
        <v>1915</v>
      </c>
      <c r="G57" s="4">
        <f>((F57-D57)/D57)*100</f>
        <v>400</v>
      </c>
      <c r="H57" s="72">
        <v>383</v>
      </c>
      <c r="I57" s="72">
        <v>383</v>
      </c>
      <c r="J57" s="4">
        <f>((I57-H57)/H57)*100</f>
        <v>0</v>
      </c>
      <c r="K57" s="72">
        <v>383</v>
      </c>
      <c r="L57" s="4">
        <f t="shared" si="2"/>
        <v>0</v>
      </c>
      <c r="M57" s="72">
        <v>383</v>
      </c>
      <c r="N57" s="4">
        <f t="shared" si="3"/>
        <v>0</v>
      </c>
      <c r="O57" s="72">
        <v>383</v>
      </c>
      <c r="P57" s="4">
        <f t="shared" si="4"/>
        <v>0</v>
      </c>
      <c r="Q57" s="96"/>
      <c r="R57" s="96"/>
      <c r="S57" s="96"/>
      <c r="T57" s="96"/>
      <c r="U57" s="96"/>
      <c r="V57" s="106">
        <f t="shared" si="36"/>
        <v>95.75</v>
      </c>
      <c r="W57" s="108">
        <v>150</v>
      </c>
      <c r="X57" s="99">
        <f t="shared" si="37"/>
        <v>39.164490861618802</v>
      </c>
      <c r="Y57" s="93"/>
      <c r="Z57" s="69">
        <f t="shared" si="5"/>
        <v>26.109660574412537</v>
      </c>
    </row>
    <row r="58" spans="1:26" ht="23.25" customHeight="1" x14ac:dyDescent="0.25">
      <c r="A58" s="114" t="s">
        <v>60</v>
      </c>
      <c r="B58" s="122" t="s">
        <v>61</v>
      </c>
      <c r="C58" s="72" t="s">
        <v>62</v>
      </c>
      <c r="D58" s="92"/>
      <c r="E58" s="4"/>
      <c r="F58" s="92"/>
      <c r="G58" s="4"/>
      <c r="H58" s="47"/>
      <c r="I58" s="47"/>
      <c r="J58" s="4"/>
      <c r="K58" s="47"/>
      <c r="L58" s="4"/>
      <c r="M58" s="95"/>
      <c r="N58" s="4"/>
      <c r="O58" s="95"/>
      <c r="P58" s="4"/>
      <c r="Q58" s="96"/>
      <c r="R58" s="96"/>
      <c r="S58" s="96"/>
      <c r="T58" s="96"/>
      <c r="U58" s="96"/>
      <c r="V58" s="97"/>
      <c r="W58" s="95"/>
      <c r="X58" s="95"/>
      <c r="Y58" s="93"/>
      <c r="Z58" s="69"/>
    </row>
    <row r="59" spans="1:26" x14ac:dyDescent="0.25">
      <c r="A59" s="114"/>
      <c r="B59" s="122"/>
      <c r="C59" s="8" t="s">
        <v>59</v>
      </c>
      <c r="D59" s="92"/>
      <c r="E59" s="4"/>
      <c r="F59" s="92"/>
      <c r="G59" s="4"/>
      <c r="H59" s="47"/>
      <c r="I59" s="47"/>
      <c r="J59" s="4"/>
      <c r="K59" s="47"/>
      <c r="L59" s="4"/>
      <c r="M59" s="95"/>
      <c r="N59" s="4"/>
      <c r="O59" s="95"/>
      <c r="P59" s="4"/>
      <c r="Q59" s="96"/>
      <c r="R59" s="96"/>
      <c r="S59" s="96"/>
      <c r="T59" s="96"/>
      <c r="U59" s="96"/>
      <c r="V59" s="97"/>
      <c r="W59" s="95"/>
      <c r="X59" s="95"/>
      <c r="Y59" s="93"/>
      <c r="Z59" s="69"/>
    </row>
    <row r="60" spans="1:26" ht="38.25" x14ac:dyDescent="0.25">
      <c r="A60" s="72" t="s">
        <v>63</v>
      </c>
      <c r="B60" s="3" t="s">
        <v>64</v>
      </c>
      <c r="C60" s="72" t="s">
        <v>65</v>
      </c>
      <c r="D60" s="4">
        <f>D56/D57</f>
        <v>1606.4832114882508</v>
      </c>
      <c r="E60" s="4" t="e">
        <f>((#REF!-#REF!)/#REF!)*100</f>
        <v>#REF!</v>
      </c>
      <c r="F60" s="4">
        <f t="shared" ref="F60:O60" si="38">F56/F57</f>
        <v>1761.0209690719644</v>
      </c>
      <c r="G60" s="4">
        <f>((F60-D60)/D60)*100</f>
        <v>9.6196310349579868</v>
      </c>
      <c r="H60" s="4">
        <f>H56/H57</f>
        <v>1758.1528903394258</v>
      </c>
      <c r="I60" s="4">
        <f t="shared" si="38"/>
        <v>1775.6886308240212</v>
      </c>
      <c r="J60" s="4">
        <f>((I60-H60)/H60)*100</f>
        <v>0.99739565204764358</v>
      </c>
      <c r="K60" s="4">
        <f t="shared" si="38"/>
        <v>1767.3965148353423</v>
      </c>
      <c r="L60" s="4">
        <f t="shared" si="2"/>
        <v>-0.46698029399618896</v>
      </c>
      <c r="M60" s="4">
        <f t="shared" si="38"/>
        <v>1791.396767605358</v>
      </c>
      <c r="N60" s="4">
        <f t="shared" si="3"/>
        <v>1.3579438778202941</v>
      </c>
      <c r="O60" s="4">
        <f t="shared" si="38"/>
        <v>1712.4700397713402</v>
      </c>
      <c r="P60" s="4">
        <f t="shared" si="4"/>
        <v>-4.4058764234303478</v>
      </c>
      <c r="Q60" s="96"/>
      <c r="R60" s="96"/>
      <c r="S60" s="96"/>
      <c r="T60" s="96"/>
      <c r="U60" s="96"/>
      <c r="V60" s="106">
        <f>V56/V57</f>
        <v>1758.1528903394258</v>
      </c>
      <c r="W60" s="106">
        <f>W56/W57</f>
        <v>1516.0421999999999</v>
      </c>
      <c r="X60" s="99">
        <f>W60/H60*100</f>
        <v>86.229258463825389</v>
      </c>
      <c r="Y60" s="91"/>
      <c r="Z60" s="69">
        <f t="shared" si="5"/>
        <v>5.6877874813659801</v>
      </c>
    </row>
    <row r="63" spans="1:26" x14ac:dyDescent="0.25">
      <c r="B63" s="23"/>
    </row>
    <row r="65" spans="2:10" x14ac:dyDescent="0.25">
      <c r="B65" s="105" t="s">
        <v>138</v>
      </c>
      <c r="C65" s="24"/>
    </row>
    <row r="66" spans="2:10" x14ac:dyDescent="0.25">
      <c r="H66" s="25"/>
      <c r="I66" s="25"/>
      <c r="J66" s="25"/>
    </row>
    <row r="67" spans="2:10" x14ac:dyDescent="0.25">
      <c r="H67" s="25"/>
      <c r="I67" s="25"/>
      <c r="J67" s="25"/>
    </row>
    <row r="68" spans="2:10" x14ac:dyDescent="0.25">
      <c r="H68" s="25"/>
      <c r="I68" s="25"/>
      <c r="J68" s="25"/>
    </row>
    <row r="69" spans="2:10" x14ac:dyDescent="0.25">
      <c r="H69" s="25"/>
      <c r="I69" s="25"/>
      <c r="J69" s="25"/>
    </row>
    <row r="70" spans="2:10" x14ac:dyDescent="0.25">
      <c r="H70" s="26"/>
      <c r="I70" s="26"/>
      <c r="J70" s="26"/>
    </row>
  </sheetData>
  <mergeCells count="14">
    <mergeCell ref="A12:A13"/>
    <mergeCell ref="A23:A24"/>
    <mergeCell ref="B58:B59"/>
    <mergeCell ref="A58:A59"/>
    <mergeCell ref="A9:A10"/>
    <mergeCell ref="B9:B10"/>
    <mergeCell ref="Y9:Y10"/>
    <mergeCell ref="V9:V10"/>
    <mergeCell ref="C9:C10"/>
    <mergeCell ref="D9:D10"/>
    <mergeCell ref="X9:X10"/>
    <mergeCell ref="H9:H10"/>
    <mergeCell ref="W9:W10"/>
    <mergeCell ref="I9:I10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82"/>
  <sheetViews>
    <sheetView workbookViewId="0">
      <selection activeCell="I4" sqref="I4"/>
    </sheetView>
  </sheetViews>
  <sheetFormatPr defaultRowHeight="15" x14ac:dyDescent="0.25"/>
  <cols>
    <col min="1" max="1" width="4.28515625" style="1" customWidth="1"/>
    <col min="2" max="2" width="25.28515625" style="1" customWidth="1"/>
    <col min="3" max="3" width="10" style="1" customWidth="1"/>
    <col min="4" max="4" width="12.28515625" style="1" hidden="1" customWidth="1"/>
    <col min="5" max="5" width="10.5703125" style="1" hidden="1" customWidth="1"/>
    <col min="6" max="6" width="12.28515625" style="1" hidden="1" customWidth="1"/>
    <col min="7" max="7" width="12.7109375" style="1" hidden="1" customWidth="1"/>
    <col min="8" max="8" width="2.85546875" style="1" hidden="1" customWidth="1"/>
    <col min="9" max="9" width="16.5703125" style="1" customWidth="1"/>
    <col min="10" max="11" width="10.85546875" style="1" hidden="1" customWidth="1"/>
    <col min="12" max="12" width="10.28515625" style="1" hidden="1" customWidth="1"/>
    <col min="13" max="13" width="0.140625" style="1" hidden="1" customWidth="1"/>
    <col min="14" max="15" width="10.5703125" style="1" hidden="1" customWidth="1"/>
    <col min="16" max="16" width="0.140625" style="1" hidden="1" customWidth="1"/>
    <col min="17" max="17" width="9.140625" style="1" hidden="1" customWidth="1"/>
    <col min="18" max="18" width="11.140625" style="1" hidden="1" customWidth="1"/>
    <col min="19" max="19" width="13.7109375" style="1" customWidth="1"/>
    <col min="20" max="20" width="10.7109375" style="1" customWidth="1"/>
    <col min="21" max="21" width="13.5703125" style="1" customWidth="1"/>
    <col min="22" max="22" width="10.42578125" style="1" hidden="1" customWidth="1"/>
    <col min="23" max="16384" width="9.140625" style="1"/>
  </cols>
  <sheetData>
    <row r="1" spans="1:26" x14ac:dyDescent="0.25">
      <c r="A1" s="104" t="s">
        <v>125</v>
      </c>
    </row>
    <row r="2" spans="1:26" x14ac:dyDescent="0.25">
      <c r="A2" s="104"/>
    </row>
    <row r="3" spans="1:26" x14ac:dyDescent="0.25">
      <c r="A3" s="104"/>
    </row>
    <row r="4" spans="1:26" x14ac:dyDescent="0.25">
      <c r="I4" s="2" t="s">
        <v>131</v>
      </c>
    </row>
    <row r="5" spans="1:26" x14ac:dyDescent="0.25">
      <c r="B5" s="2" t="s">
        <v>134</v>
      </c>
    </row>
    <row r="6" spans="1:26" x14ac:dyDescent="0.25">
      <c r="B6" s="2" t="s">
        <v>133</v>
      </c>
    </row>
    <row r="9" spans="1:26" ht="15.75" customHeight="1" x14ac:dyDescent="0.25">
      <c r="A9" s="117" t="s">
        <v>0</v>
      </c>
      <c r="B9" s="117" t="s">
        <v>1</v>
      </c>
      <c r="C9" s="117" t="s">
        <v>2</v>
      </c>
      <c r="D9" s="115" t="s">
        <v>117</v>
      </c>
      <c r="E9" s="117" t="s">
        <v>4</v>
      </c>
      <c r="F9" s="117" t="s">
        <v>5</v>
      </c>
      <c r="G9" s="83"/>
      <c r="H9" s="84"/>
      <c r="I9" s="115" t="s">
        <v>128</v>
      </c>
      <c r="J9" s="117" t="s">
        <v>118</v>
      </c>
      <c r="K9" s="115" t="s">
        <v>120</v>
      </c>
      <c r="L9" s="117" t="s">
        <v>118</v>
      </c>
      <c r="M9" s="115" t="s">
        <v>120</v>
      </c>
      <c r="N9" s="117" t="s">
        <v>118</v>
      </c>
      <c r="O9" s="115" t="s">
        <v>120</v>
      </c>
      <c r="P9" s="117" t="s">
        <v>118</v>
      </c>
      <c r="Q9" s="115" t="s">
        <v>120</v>
      </c>
      <c r="R9" s="115" t="s">
        <v>120</v>
      </c>
      <c r="S9" s="117" t="s">
        <v>118</v>
      </c>
      <c r="T9" s="117" t="s">
        <v>119</v>
      </c>
      <c r="U9" s="115" t="s">
        <v>124</v>
      </c>
      <c r="V9" s="130" t="s">
        <v>68</v>
      </c>
    </row>
    <row r="10" spans="1:26" ht="4.5" customHeight="1" x14ac:dyDescent="0.25">
      <c r="A10" s="126"/>
      <c r="B10" s="126"/>
      <c r="C10" s="126"/>
      <c r="D10" s="129"/>
      <c r="E10" s="126"/>
      <c r="F10" s="126"/>
      <c r="G10" s="85"/>
      <c r="H10" s="86"/>
      <c r="I10" s="129"/>
      <c r="J10" s="118"/>
      <c r="K10" s="116"/>
      <c r="L10" s="118"/>
      <c r="M10" s="116"/>
      <c r="N10" s="118"/>
      <c r="O10" s="116"/>
      <c r="P10" s="118"/>
      <c r="Q10" s="116"/>
      <c r="R10" s="129"/>
      <c r="S10" s="126"/>
      <c r="T10" s="126"/>
      <c r="U10" s="129"/>
      <c r="V10" s="130"/>
    </row>
    <row r="11" spans="1:26" ht="1.5" hidden="1" customHeight="1" x14ac:dyDescent="0.25">
      <c r="A11" s="126"/>
      <c r="B11" s="126"/>
      <c r="C11" s="126"/>
      <c r="D11" s="129"/>
      <c r="E11" s="126"/>
      <c r="F11" s="126"/>
      <c r="G11" s="85"/>
      <c r="H11" s="86"/>
      <c r="I11" s="129"/>
      <c r="J11" s="117" t="s">
        <v>118</v>
      </c>
      <c r="K11" s="115" t="s">
        <v>120</v>
      </c>
      <c r="L11" s="117" t="s">
        <v>118</v>
      </c>
      <c r="M11" s="115" t="s">
        <v>120</v>
      </c>
      <c r="N11" s="117" t="s">
        <v>118</v>
      </c>
      <c r="O11" s="115" t="s">
        <v>120</v>
      </c>
      <c r="P11" s="117" t="s">
        <v>118</v>
      </c>
      <c r="Q11" s="115" t="s">
        <v>120</v>
      </c>
      <c r="R11" s="129"/>
      <c r="S11" s="126"/>
      <c r="T11" s="126"/>
      <c r="U11" s="129"/>
      <c r="V11" s="130"/>
    </row>
    <row r="12" spans="1:26" ht="2.25" hidden="1" customHeight="1" x14ac:dyDescent="0.25">
      <c r="A12" s="126"/>
      <c r="B12" s="126"/>
      <c r="C12" s="126"/>
      <c r="D12" s="129"/>
      <c r="E12" s="126"/>
      <c r="F12" s="126"/>
      <c r="G12" s="85"/>
      <c r="H12" s="86"/>
      <c r="I12" s="129"/>
      <c r="J12" s="118"/>
      <c r="K12" s="116"/>
      <c r="L12" s="118"/>
      <c r="M12" s="116"/>
      <c r="N12" s="118"/>
      <c r="O12" s="116"/>
      <c r="P12" s="118"/>
      <c r="Q12" s="116"/>
      <c r="R12" s="129"/>
      <c r="S12" s="126"/>
      <c r="T12" s="126"/>
      <c r="U12" s="129"/>
      <c r="V12" s="130"/>
    </row>
    <row r="13" spans="1:26" ht="11.25" customHeight="1" x14ac:dyDescent="0.25">
      <c r="A13" s="126"/>
      <c r="B13" s="126"/>
      <c r="C13" s="126"/>
      <c r="D13" s="129"/>
      <c r="E13" s="126"/>
      <c r="F13" s="126"/>
      <c r="G13" s="87"/>
      <c r="H13" s="88"/>
      <c r="I13" s="129"/>
      <c r="J13" s="117" t="s">
        <v>118</v>
      </c>
      <c r="K13" s="115" t="s">
        <v>120</v>
      </c>
      <c r="L13" s="117" t="s">
        <v>118</v>
      </c>
      <c r="M13" s="115" t="s">
        <v>120</v>
      </c>
      <c r="N13" s="117" t="s">
        <v>118</v>
      </c>
      <c r="O13" s="115" t="s">
        <v>120</v>
      </c>
      <c r="P13" s="117" t="s">
        <v>118</v>
      </c>
      <c r="Q13" s="115" t="s">
        <v>120</v>
      </c>
      <c r="R13" s="129"/>
      <c r="S13" s="126"/>
      <c r="T13" s="126"/>
      <c r="U13" s="129"/>
      <c r="V13" s="130"/>
    </row>
    <row r="14" spans="1:26" ht="45.75" customHeight="1" x14ac:dyDescent="0.25">
      <c r="A14" s="118"/>
      <c r="B14" s="118"/>
      <c r="C14" s="118"/>
      <c r="D14" s="116"/>
      <c r="E14" s="118"/>
      <c r="F14" s="118"/>
      <c r="G14" s="76" t="s">
        <v>6</v>
      </c>
      <c r="H14" s="71" t="s">
        <v>111</v>
      </c>
      <c r="I14" s="116"/>
      <c r="J14" s="118"/>
      <c r="K14" s="116"/>
      <c r="L14" s="118"/>
      <c r="M14" s="116"/>
      <c r="N14" s="118"/>
      <c r="O14" s="116"/>
      <c r="P14" s="118"/>
      <c r="Q14" s="116"/>
      <c r="R14" s="116"/>
      <c r="S14" s="118"/>
      <c r="T14" s="118"/>
      <c r="U14" s="116"/>
      <c r="V14" s="130"/>
      <c r="W14" s="70"/>
    </row>
    <row r="15" spans="1:26" ht="38.25" x14ac:dyDescent="0.25">
      <c r="A15" s="74" t="s">
        <v>11</v>
      </c>
      <c r="B15" s="75" t="s">
        <v>12</v>
      </c>
      <c r="C15" s="31" t="s">
        <v>71</v>
      </c>
      <c r="D15" s="29">
        <v>141936.4</v>
      </c>
      <c r="E15" s="29">
        <v>180679.4</v>
      </c>
      <c r="F15" s="29">
        <v>180679.4</v>
      </c>
      <c r="G15" s="29">
        <f t="shared" ref="G15:P15" si="0">G16+G24+G28+G29+G32</f>
        <v>861042.67613485665</v>
      </c>
      <c r="H15" s="29">
        <f>((G15-D15)/D15)*100</f>
        <v>506.63978805638061</v>
      </c>
      <c r="I15" s="27">
        <f t="shared" si="0"/>
        <v>157433.86240000001</v>
      </c>
      <c r="J15" s="27">
        <f t="shared" si="0"/>
        <v>165108.95214400001</v>
      </c>
      <c r="K15" s="27">
        <f>((J15-I15)/I15)*100</f>
        <v>4.8751200199227256</v>
      </c>
      <c r="L15" s="27">
        <f t="shared" si="0"/>
        <v>172102.11107264002</v>
      </c>
      <c r="M15" s="27">
        <f>((L15-J15)/J15)*100</f>
        <v>4.235481382342563</v>
      </c>
      <c r="N15" s="27">
        <f t="shared" si="0"/>
        <v>179355.44073699843</v>
      </c>
      <c r="O15" s="27">
        <f>((N15-L15)/L15)*100</f>
        <v>4.2145500825942532</v>
      </c>
      <c r="P15" s="27">
        <f t="shared" si="0"/>
        <v>187042.30978121833</v>
      </c>
      <c r="Q15" s="109">
        <f>((P15-N15)/N15)*100</f>
        <v>4.2858298653408013</v>
      </c>
      <c r="R15" s="109">
        <f>I15/12*3</f>
        <v>39358.465600000003</v>
      </c>
      <c r="S15" s="109">
        <v>62433.07</v>
      </c>
      <c r="T15" s="99">
        <f>S15/I15*100</f>
        <v>39.656697135063105</v>
      </c>
      <c r="U15" s="94"/>
      <c r="V15" s="67">
        <f>T15/S15*100</f>
        <v>6.3518736360494696E-2</v>
      </c>
    </row>
    <row r="16" spans="1:26" ht="15" customHeight="1" x14ac:dyDescent="0.25">
      <c r="A16" s="128">
        <v>1</v>
      </c>
      <c r="B16" s="75" t="s">
        <v>14</v>
      </c>
      <c r="C16" s="31" t="s">
        <v>71</v>
      </c>
      <c r="D16" s="29">
        <v>35140.199999999997</v>
      </c>
      <c r="E16" s="29">
        <v>26404.400000000001</v>
      </c>
      <c r="F16" s="29">
        <v>26404.400000000001</v>
      </c>
      <c r="G16" s="9">
        <f t="shared" ref="G16:P16" si="1">G18+G20+G23</f>
        <v>178335.27999999997</v>
      </c>
      <c r="H16" s="29">
        <f>((G16-D16)/D16)*100</f>
        <v>407.49648550662766</v>
      </c>
      <c r="I16" s="4">
        <f t="shared" si="1"/>
        <v>33557.9</v>
      </c>
      <c r="J16" s="4">
        <f t="shared" si="1"/>
        <v>35261.869999999995</v>
      </c>
      <c r="K16" s="27">
        <f t="shared" ref="K16:K67" si="2">((J16-I16)/I16)*100</f>
        <v>5.0777015248272201</v>
      </c>
      <c r="L16" s="4">
        <f t="shared" si="1"/>
        <v>35932.85</v>
      </c>
      <c r="M16" s="27">
        <f t="shared" ref="M16:M67" si="3">((L16-J16)/J16)*100</f>
        <v>1.9028486010526475</v>
      </c>
      <c r="N16" s="4">
        <f t="shared" si="1"/>
        <v>36491.89</v>
      </c>
      <c r="O16" s="27">
        <f t="shared" ref="O16:O67" si="4">((N16-L16)/L16)*100</f>
        <v>1.5557908710274884</v>
      </c>
      <c r="P16" s="4">
        <f t="shared" si="1"/>
        <v>37090.770000000004</v>
      </c>
      <c r="Q16" s="109">
        <f t="shared" ref="Q16:Q67" si="5">((P16-N16)/N16)*100</f>
        <v>1.6411317692780634</v>
      </c>
      <c r="R16" s="109">
        <f>I16/12*3</f>
        <v>8389.4750000000004</v>
      </c>
      <c r="S16" s="109">
        <v>8106.65</v>
      </c>
      <c r="T16" s="99">
        <f>S16/I16*100</f>
        <v>24.157202923901671</v>
      </c>
      <c r="U16" s="94"/>
      <c r="V16" s="67">
        <f t="shared" ref="V16:V67" si="6">T16/S16*100</f>
        <v>0.29799242503255563</v>
      </c>
      <c r="W16" s="28"/>
      <c r="X16" s="28"/>
      <c r="Y16" s="28"/>
      <c r="Z16" s="26"/>
    </row>
    <row r="17" spans="1:26" x14ac:dyDescent="0.25">
      <c r="A17" s="128"/>
      <c r="B17" s="75" t="s">
        <v>15</v>
      </c>
      <c r="C17" s="31"/>
      <c r="D17" s="92"/>
      <c r="E17" s="92"/>
      <c r="F17" s="92"/>
      <c r="G17" s="31"/>
      <c r="H17" s="29"/>
      <c r="I17" s="47"/>
      <c r="J17" s="47"/>
      <c r="K17" s="29"/>
      <c r="L17" s="47"/>
      <c r="M17" s="29"/>
      <c r="N17" s="95"/>
      <c r="O17" s="29"/>
      <c r="P17" s="95"/>
      <c r="Q17" s="66"/>
      <c r="R17" s="66"/>
      <c r="S17" s="66"/>
      <c r="T17" s="29"/>
      <c r="U17" s="94"/>
      <c r="V17" s="67"/>
      <c r="W17" s="28"/>
      <c r="X17" s="28"/>
      <c r="Y17" s="28"/>
      <c r="Z17" s="26"/>
    </row>
    <row r="18" spans="1:26" ht="17.25" customHeight="1" x14ac:dyDescent="0.25">
      <c r="A18" s="77">
        <v>1.1000000000000001</v>
      </c>
      <c r="B18" s="30" t="s">
        <v>17</v>
      </c>
      <c r="C18" s="31" t="s">
        <v>13</v>
      </c>
      <c r="D18" s="29">
        <v>10245</v>
      </c>
      <c r="E18" s="29">
        <v>5485.2</v>
      </c>
      <c r="F18" s="29">
        <v>5485.2</v>
      </c>
      <c r="G18" s="29">
        <f>I18+J18+L18+N18+P18</f>
        <v>51225</v>
      </c>
      <c r="H18" s="29">
        <f>((G18-D18)/D18)*100</f>
        <v>400</v>
      </c>
      <c r="I18" s="29">
        <v>10245</v>
      </c>
      <c r="J18" s="29">
        <v>10245</v>
      </c>
      <c r="K18" s="29">
        <f t="shared" si="2"/>
        <v>0</v>
      </c>
      <c r="L18" s="29">
        <v>10245</v>
      </c>
      <c r="M18" s="29">
        <f t="shared" si="3"/>
        <v>0</v>
      </c>
      <c r="N18" s="29">
        <v>10245</v>
      </c>
      <c r="O18" s="29">
        <f t="shared" si="4"/>
        <v>0</v>
      </c>
      <c r="P18" s="29">
        <v>10245</v>
      </c>
      <c r="Q18" s="66">
        <f t="shared" si="5"/>
        <v>0</v>
      </c>
      <c r="R18" s="66">
        <f>I18/12*3</f>
        <v>2561.25</v>
      </c>
      <c r="S18" s="66">
        <v>2561.25</v>
      </c>
      <c r="T18" s="94">
        <f>S18/I18*100</f>
        <v>25</v>
      </c>
      <c r="U18" s="94"/>
      <c r="V18" s="67">
        <f t="shared" si="6"/>
        <v>0.9760858955588092</v>
      </c>
      <c r="W18" s="28"/>
      <c r="X18" s="28"/>
      <c r="Y18" s="28"/>
      <c r="Z18" s="26"/>
    </row>
    <row r="19" spans="1:26" ht="18" customHeight="1" x14ac:dyDescent="0.25">
      <c r="A19" s="77">
        <v>1.2</v>
      </c>
      <c r="B19" s="30" t="s">
        <v>72</v>
      </c>
      <c r="C19" s="31" t="s">
        <v>13</v>
      </c>
      <c r="D19" s="92"/>
      <c r="E19" s="31" t="s">
        <v>16</v>
      </c>
      <c r="F19" s="31" t="s">
        <v>16</v>
      </c>
      <c r="G19" s="29"/>
      <c r="H19" s="29"/>
      <c r="I19" s="47"/>
      <c r="J19" s="47"/>
      <c r="K19" s="29"/>
      <c r="L19" s="47"/>
      <c r="M19" s="29"/>
      <c r="N19" s="95"/>
      <c r="O19" s="29"/>
      <c r="P19" s="95"/>
      <c r="Q19" s="66"/>
      <c r="R19" s="66"/>
      <c r="S19" s="66"/>
      <c r="T19" s="29"/>
      <c r="U19" s="94"/>
      <c r="V19" s="67"/>
      <c r="W19" s="28"/>
      <c r="X19" s="28"/>
      <c r="Y19" s="28"/>
    </row>
    <row r="20" spans="1:26" x14ac:dyDescent="0.25">
      <c r="A20" s="77">
        <v>1.3</v>
      </c>
      <c r="B20" s="30" t="s">
        <v>19</v>
      </c>
      <c r="C20" s="31" t="s">
        <v>13</v>
      </c>
      <c r="D20" s="29">
        <v>3500</v>
      </c>
      <c r="E20" s="29">
        <v>11203.6</v>
      </c>
      <c r="F20" s="29">
        <v>11203.6</v>
      </c>
      <c r="G20" s="29">
        <f>I20+J20+L20+N20+P20</f>
        <v>28013.68</v>
      </c>
      <c r="H20" s="29">
        <f>((G20-D20)/D20)*100</f>
        <v>700.39085714285716</v>
      </c>
      <c r="I20" s="9">
        <v>4651</v>
      </c>
      <c r="J20" s="29">
        <v>5654.07</v>
      </c>
      <c r="K20" s="29">
        <f t="shared" si="2"/>
        <v>21.566759836594272</v>
      </c>
      <c r="L20" s="29">
        <v>5767.15</v>
      </c>
      <c r="M20" s="29">
        <f t="shared" si="3"/>
        <v>1.9999752390755674</v>
      </c>
      <c r="N20" s="29">
        <v>5882.49</v>
      </c>
      <c r="O20" s="29">
        <f t="shared" si="4"/>
        <v>1.9999479812385694</v>
      </c>
      <c r="P20" s="29">
        <v>6058.97</v>
      </c>
      <c r="Q20" s="66">
        <f t="shared" si="5"/>
        <v>3.0000900979007272</v>
      </c>
      <c r="R20" s="66">
        <f>I20/12*3</f>
        <v>1162.75</v>
      </c>
      <c r="S20" s="66">
        <v>488.4</v>
      </c>
      <c r="T20" s="94">
        <f>S20/I20*100</f>
        <v>10.500967533863685</v>
      </c>
      <c r="U20" s="94"/>
      <c r="V20" s="67">
        <f t="shared" si="6"/>
        <v>2.150075252633842</v>
      </c>
    </row>
    <row r="21" spans="1:26" x14ac:dyDescent="0.25">
      <c r="A21" s="77">
        <v>1.4</v>
      </c>
      <c r="B21" s="30" t="s">
        <v>73</v>
      </c>
      <c r="C21" s="31" t="s">
        <v>13</v>
      </c>
      <c r="D21" s="92"/>
      <c r="E21" s="31" t="s">
        <v>16</v>
      </c>
      <c r="F21" s="31" t="s">
        <v>16</v>
      </c>
      <c r="G21" s="29"/>
      <c r="H21" s="29"/>
      <c r="I21" s="47"/>
      <c r="J21" s="47"/>
      <c r="K21" s="29"/>
      <c r="L21" s="47"/>
      <c r="M21" s="29"/>
      <c r="N21" s="95"/>
      <c r="O21" s="29"/>
      <c r="P21" s="95"/>
      <c r="Q21" s="66"/>
      <c r="R21" s="66"/>
      <c r="S21" s="66"/>
      <c r="T21" s="95"/>
      <c r="U21" s="94"/>
      <c r="V21" s="67"/>
    </row>
    <row r="22" spans="1:26" x14ac:dyDescent="0.25">
      <c r="A22" s="77">
        <v>1.5</v>
      </c>
      <c r="B22" s="30" t="s">
        <v>21</v>
      </c>
      <c r="C22" s="31" t="s">
        <v>13</v>
      </c>
      <c r="D22" s="29">
        <v>11109.4</v>
      </c>
      <c r="E22" s="29">
        <v>9715.7000000000007</v>
      </c>
      <c r="F22" s="29">
        <v>9715.7000000000007</v>
      </c>
      <c r="G22" s="29"/>
      <c r="H22" s="29">
        <f>((G22-D22)/D22)*100</f>
        <v>-100</v>
      </c>
      <c r="I22" s="47"/>
      <c r="J22" s="47"/>
      <c r="K22" s="29"/>
      <c r="L22" s="47"/>
      <c r="M22" s="29"/>
      <c r="N22" s="95"/>
      <c r="O22" s="29"/>
      <c r="P22" s="95"/>
      <c r="Q22" s="66"/>
      <c r="R22" s="66"/>
      <c r="S22" s="66"/>
      <c r="T22" s="95"/>
      <c r="U22" s="94"/>
      <c r="V22" s="67"/>
    </row>
    <row r="23" spans="1:26" ht="38.25" customHeight="1" x14ac:dyDescent="0.25">
      <c r="A23" s="31">
        <v>1.6</v>
      </c>
      <c r="B23" s="30" t="s">
        <v>74</v>
      </c>
      <c r="C23" s="31" t="s">
        <v>13</v>
      </c>
      <c r="D23" s="29">
        <v>10285.84</v>
      </c>
      <c r="E23" s="31" t="s">
        <v>16</v>
      </c>
      <c r="F23" s="31" t="s">
        <v>16</v>
      </c>
      <c r="G23" s="29">
        <f>I23+J23+L23+N23+P23</f>
        <v>99096.599999999991</v>
      </c>
      <c r="H23" s="29">
        <f>((G23-D23)/D23)*100</f>
        <v>863.42739144299344</v>
      </c>
      <c r="I23" s="29">
        <v>18661.900000000001</v>
      </c>
      <c r="J23" s="29">
        <v>19362.8</v>
      </c>
      <c r="K23" s="29">
        <f t="shared" si="2"/>
        <v>3.7557804939475496</v>
      </c>
      <c r="L23" s="29">
        <v>19920.7</v>
      </c>
      <c r="M23" s="29">
        <f t="shared" si="3"/>
        <v>2.8812981593571254</v>
      </c>
      <c r="N23" s="29">
        <v>20364.400000000001</v>
      </c>
      <c r="O23" s="29">
        <f t="shared" si="4"/>
        <v>2.2273313688776031</v>
      </c>
      <c r="P23" s="29">
        <v>20786.8</v>
      </c>
      <c r="Q23" s="66">
        <f t="shared" si="5"/>
        <v>2.0742079314882726</v>
      </c>
      <c r="R23" s="66">
        <f t="shared" ref="R23:R24" si="7">I23/12*3</f>
        <v>4665.4750000000004</v>
      </c>
      <c r="S23" s="66">
        <v>5057</v>
      </c>
      <c r="T23" s="94">
        <f t="shared" ref="T23:T24" si="8">S23/I23*100</f>
        <v>27.097991094154398</v>
      </c>
      <c r="U23" s="94"/>
      <c r="V23" s="67">
        <f t="shared" si="6"/>
        <v>0.53585111912506234</v>
      </c>
    </row>
    <row r="24" spans="1:26" ht="26.25" customHeight="1" x14ac:dyDescent="0.25">
      <c r="A24" s="128">
        <v>2</v>
      </c>
      <c r="B24" s="75" t="s">
        <v>22</v>
      </c>
      <c r="C24" s="76" t="s">
        <v>71</v>
      </c>
      <c r="D24" s="29">
        <v>62714.5</v>
      </c>
      <c r="E24" s="29">
        <v>74109.2</v>
      </c>
      <c r="F24" s="29">
        <v>74109.2</v>
      </c>
      <c r="G24" s="9">
        <f t="shared" ref="G24:P24" si="9">G26+G27</f>
        <v>494590.99613485672</v>
      </c>
      <c r="H24" s="29">
        <f>((G24-D24)/D24)*100</f>
        <v>688.63898481986894</v>
      </c>
      <c r="I24" s="4">
        <f t="shared" si="9"/>
        <v>87738.662400000001</v>
      </c>
      <c r="J24" s="4">
        <f t="shared" si="9"/>
        <v>93002.982144000009</v>
      </c>
      <c r="K24" s="27">
        <f t="shared" si="2"/>
        <v>6.0000000000000089</v>
      </c>
      <c r="L24" s="4">
        <f t="shared" si="9"/>
        <v>98583.16107264001</v>
      </c>
      <c r="M24" s="27">
        <f t="shared" si="3"/>
        <v>6.0000000000000009</v>
      </c>
      <c r="N24" s="4">
        <f t="shared" si="9"/>
        <v>104498.1507369984</v>
      </c>
      <c r="O24" s="27">
        <f t="shared" si="4"/>
        <v>5.9999999999999911</v>
      </c>
      <c r="P24" s="4">
        <f t="shared" si="9"/>
        <v>110768.03978121832</v>
      </c>
      <c r="Q24" s="109">
        <f t="shared" si="5"/>
        <v>6.0000000000000142</v>
      </c>
      <c r="R24" s="109">
        <f t="shared" si="7"/>
        <v>21934.6656</v>
      </c>
      <c r="S24" s="109">
        <v>36460.800000000003</v>
      </c>
      <c r="T24" s="99">
        <f t="shared" si="8"/>
        <v>41.556138425926129</v>
      </c>
      <c r="U24" s="94"/>
      <c r="V24" s="67">
        <f t="shared" si="6"/>
        <v>0.11397483989908648</v>
      </c>
    </row>
    <row r="25" spans="1:26" x14ac:dyDescent="0.25">
      <c r="A25" s="128"/>
      <c r="B25" s="75" t="s">
        <v>75</v>
      </c>
      <c r="C25" s="76"/>
      <c r="D25" s="92"/>
      <c r="E25" s="92"/>
      <c r="F25" s="92"/>
      <c r="G25" s="31"/>
      <c r="H25" s="29"/>
      <c r="I25" s="47"/>
      <c r="J25" s="47"/>
      <c r="K25" s="29"/>
      <c r="L25" s="47"/>
      <c r="M25" s="29"/>
      <c r="N25" s="95"/>
      <c r="O25" s="29"/>
      <c r="P25" s="95"/>
      <c r="Q25" s="66"/>
      <c r="R25" s="66"/>
      <c r="S25" s="66"/>
      <c r="T25" s="95"/>
      <c r="U25" s="94"/>
      <c r="V25" s="67"/>
    </row>
    <row r="26" spans="1:26" ht="12.75" customHeight="1" x14ac:dyDescent="0.25">
      <c r="A26" s="77">
        <v>2.1</v>
      </c>
      <c r="B26" s="30" t="s">
        <v>23</v>
      </c>
      <c r="C26" s="31" t="s">
        <v>13</v>
      </c>
      <c r="D26" s="29">
        <v>53408</v>
      </c>
      <c r="E26" s="29">
        <v>66765</v>
      </c>
      <c r="F26" s="29">
        <v>66765</v>
      </c>
      <c r="G26" s="29">
        <f t="shared" ref="G26:G29" si="10">I26+J26+L26+N26+P26</f>
        <v>445577.47399536642</v>
      </c>
      <c r="H26" s="29">
        <f>((G26-D26)/D26)*100</f>
        <v>734.28975808000007</v>
      </c>
      <c r="I26" s="9">
        <f>D26*1.48</f>
        <v>79043.839999999997</v>
      </c>
      <c r="J26" s="9">
        <f>I26*1.06</f>
        <v>83786.470400000006</v>
      </c>
      <c r="K26" s="29">
        <f t="shared" si="2"/>
        <v>6.0000000000000115</v>
      </c>
      <c r="L26" s="9">
        <f>J26*1.06</f>
        <v>88813.658624000003</v>
      </c>
      <c r="M26" s="29">
        <f t="shared" si="3"/>
        <v>5.9999999999999973</v>
      </c>
      <c r="N26" s="9">
        <f>L26*1.06</f>
        <v>94142.478141440006</v>
      </c>
      <c r="O26" s="29">
        <f t="shared" si="4"/>
        <v>6.0000000000000027</v>
      </c>
      <c r="P26" s="9">
        <f t="shared" ref="P26" si="11">N26*1.06</f>
        <v>99791.026829926413</v>
      </c>
      <c r="Q26" s="66">
        <f t="shared" si="5"/>
        <v>6.0000000000000071</v>
      </c>
      <c r="R26" s="66">
        <f t="shared" ref="R26:R29" si="12">I26/12*3</f>
        <v>19760.96</v>
      </c>
      <c r="S26" s="66">
        <v>33158.9</v>
      </c>
      <c r="T26" s="94">
        <f t="shared" ref="T26:T28" si="13">S26/I26*100</f>
        <v>41.950011537900991</v>
      </c>
      <c r="U26" s="94"/>
      <c r="V26" s="67">
        <f t="shared" si="6"/>
        <v>0.126512072287986</v>
      </c>
    </row>
    <row r="27" spans="1:26" ht="13.5" customHeight="1" x14ac:dyDescent="0.25">
      <c r="A27" s="77">
        <v>2.2000000000000002</v>
      </c>
      <c r="B27" s="30" t="s">
        <v>24</v>
      </c>
      <c r="C27" s="31" t="s">
        <v>13</v>
      </c>
      <c r="D27" s="29">
        <v>9306.5</v>
      </c>
      <c r="E27" s="29">
        <v>7344.2</v>
      </c>
      <c r="F27" s="29">
        <v>7344.2</v>
      </c>
      <c r="G27" s="29">
        <f t="shared" si="10"/>
        <v>49013.522139490306</v>
      </c>
      <c r="H27" s="29">
        <f>((G27-D27)/D27)*100</f>
        <v>426.65902476215882</v>
      </c>
      <c r="I27" s="9">
        <f>(I26/100)*11</f>
        <v>8694.8224000000009</v>
      </c>
      <c r="J27" s="9">
        <f t="shared" ref="J27:P27" si="14">(J26/100)*11</f>
        <v>9216.5117440000013</v>
      </c>
      <c r="K27" s="29">
        <f t="shared" si="2"/>
        <v>6.0000000000000036</v>
      </c>
      <c r="L27" s="9">
        <f t="shared" si="14"/>
        <v>9769.5024486399998</v>
      </c>
      <c r="M27" s="29">
        <f t="shared" si="3"/>
        <v>5.9999999999999831</v>
      </c>
      <c r="N27" s="9">
        <f t="shared" si="14"/>
        <v>10355.672595558401</v>
      </c>
      <c r="O27" s="29">
        <f t="shared" si="4"/>
        <v>6.0000000000000089</v>
      </c>
      <c r="P27" s="9">
        <f t="shared" si="14"/>
        <v>10977.012951291905</v>
      </c>
      <c r="Q27" s="66">
        <f t="shared" si="5"/>
        <v>6.0000000000000009</v>
      </c>
      <c r="R27" s="66">
        <f t="shared" si="12"/>
        <v>2173.7056000000002</v>
      </c>
      <c r="S27" s="66">
        <v>3301.9</v>
      </c>
      <c r="T27" s="94">
        <f t="shared" si="13"/>
        <v>37.975473771609181</v>
      </c>
      <c r="U27" s="94"/>
      <c r="V27" s="67">
        <f t="shared" si="6"/>
        <v>1.1501097480726001</v>
      </c>
    </row>
    <row r="28" spans="1:26" ht="15" customHeight="1" x14ac:dyDescent="0.25">
      <c r="A28" s="74">
        <v>3</v>
      </c>
      <c r="B28" s="75" t="s">
        <v>25</v>
      </c>
      <c r="C28" s="76" t="s">
        <v>13</v>
      </c>
      <c r="D28" s="29">
        <v>22002.2</v>
      </c>
      <c r="E28" s="29">
        <v>50122</v>
      </c>
      <c r="F28" s="29">
        <v>50122</v>
      </c>
      <c r="G28" s="29">
        <f t="shared" si="10"/>
        <v>110011</v>
      </c>
      <c r="H28" s="29">
        <f>((G28-D28)/D28)*100</f>
        <v>400</v>
      </c>
      <c r="I28" s="27">
        <v>22002.2</v>
      </c>
      <c r="J28" s="27">
        <v>22002.2</v>
      </c>
      <c r="K28" s="27">
        <f t="shared" si="2"/>
        <v>0</v>
      </c>
      <c r="L28" s="27">
        <v>22002.2</v>
      </c>
      <c r="M28" s="27">
        <f t="shared" si="3"/>
        <v>0</v>
      </c>
      <c r="N28" s="27">
        <v>22002.2</v>
      </c>
      <c r="O28" s="27">
        <f t="shared" si="4"/>
        <v>0</v>
      </c>
      <c r="P28" s="27">
        <v>22002.2</v>
      </c>
      <c r="Q28" s="109">
        <f t="shared" si="5"/>
        <v>0</v>
      </c>
      <c r="R28" s="109">
        <f t="shared" si="12"/>
        <v>5500.55</v>
      </c>
      <c r="S28" s="109">
        <v>17321.2</v>
      </c>
      <c r="T28" s="99">
        <f t="shared" si="13"/>
        <v>78.724854787248546</v>
      </c>
      <c r="U28" s="94"/>
      <c r="V28" s="67">
        <f t="shared" si="6"/>
        <v>0.454500004545</v>
      </c>
    </row>
    <row r="29" spans="1:26" ht="15.75" customHeight="1" x14ac:dyDescent="0.25">
      <c r="A29" s="128">
        <v>4</v>
      </c>
      <c r="B29" s="75" t="s">
        <v>26</v>
      </c>
      <c r="C29" s="76" t="s">
        <v>13</v>
      </c>
      <c r="D29" s="29">
        <v>11057.6</v>
      </c>
      <c r="E29" s="29">
        <v>11057.6</v>
      </c>
      <c r="F29" s="29">
        <v>11057.6</v>
      </c>
      <c r="G29" s="29">
        <f t="shared" si="10"/>
        <v>66072.2</v>
      </c>
      <c r="H29" s="29">
        <f>((G29-D29)/D29)*100</f>
        <v>497.52749240341484</v>
      </c>
      <c r="I29" s="4">
        <f>I31</f>
        <v>11957.4</v>
      </c>
      <c r="J29" s="4">
        <f>J31</f>
        <v>12555.3</v>
      </c>
      <c r="K29" s="27">
        <f t="shared" si="2"/>
        <v>5.0002508906618468</v>
      </c>
      <c r="L29" s="4">
        <f>L31</f>
        <v>13183</v>
      </c>
      <c r="M29" s="27">
        <f t="shared" si="3"/>
        <v>4.9994822903475091</v>
      </c>
      <c r="N29" s="4">
        <f>N31</f>
        <v>13842.2</v>
      </c>
      <c r="O29" s="27">
        <f t="shared" si="4"/>
        <v>5.0003792763407473</v>
      </c>
      <c r="P29" s="4">
        <f>P31</f>
        <v>14534.3</v>
      </c>
      <c r="Q29" s="109">
        <f t="shared" si="5"/>
        <v>4.9999277571484191</v>
      </c>
      <c r="R29" s="109">
        <f t="shared" si="12"/>
        <v>2989.35</v>
      </c>
      <c r="S29" s="109"/>
      <c r="T29" s="27"/>
      <c r="U29" s="94"/>
      <c r="V29" s="67" t="e">
        <f t="shared" si="6"/>
        <v>#DIV/0!</v>
      </c>
    </row>
    <row r="30" spans="1:26" ht="13.5" customHeight="1" x14ac:dyDescent="0.25">
      <c r="A30" s="128"/>
      <c r="B30" s="75" t="s">
        <v>75</v>
      </c>
      <c r="C30" s="76"/>
      <c r="D30" s="92"/>
      <c r="E30" s="92"/>
      <c r="F30" s="92"/>
      <c r="G30" s="31"/>
      <c r="H30" s="29"/>
      <c r="I30" s="47"/>
      <c r="J30" s="47"/>
      <c r="K30" s="29"/>
      <c r="L30" s="47"/>
      <c r="M30" s="29"/>
      <c r="N30" s="95"/>
      <c r="O30" s="29"/>
      <c r="P30" s="95"/>
      <c r="Q30" s="66"/>
      <c r="R30" s="66"/>
      <c r="S30" s="66"/>
      <c r="T30" s="95"/>
      <c r="U30" s="94"/>
      <c r="V30" s="67"/>
    </row>
    <row r="31" spans="1:26" ht="41.25" customHeight="1" x14ac:dyDescent="0.25">
      <c r="A31" s="77">
        <v>4.0999999999999996</v>
      </c>
      <c r="B31" s="30" t="s">
        <v>28</v>
      </c>
      <c r="C31" s="31" t="s">
        <v>13</v>
      </c>
      <c r="D31" s="29">
        <v>11057.6</v>
      </c>
      <c r="E31" s="29">
        <v>11057.6</v>
      </c>
      <c r="F31" s="29">
        <v>11057.6</v>
      </c>
      <c r="G31" s="29">
        <f t="shared" ref="G31" si="15">I31+J31+L31+N31+P31</f>
        <v>66072.2</v>
      </c>
      <c r="H31" s="29">
        <f>((G31-D31)/D31)*100</f>
        <v>497.52749240341484</v>
      </c>
      <c r="I31" s="9">
        <v>11957.4</v>
      </c>
      <c r="J31" s="9">
        <v>12555.3</v>
      </c>
      <c r="K31" s="29">
        <f t="shared" si="2"/>
        <v>5.0002508906618468</v>
      </c>
      <c r="L31" s="9">
        <v>13183</v>
      </c>
      <c r="M31" s="29">
        <f t="shared" si="3"/>
        <v>4.9994822903475091</v>
      </c>
      <c r="N31" s="9">
        <v>13842.2</v>
      </c>
      <c r="O31" s="29">
        <f t="shared" si="4"/>
        <v>5.0003792763407473</v>
      </c>
      <c r="P31" s="9">
        <v>14534.3</v>
      </c>
      <c r="Q31" s="66">
        <f t="shared" si="5"/>
        <v>4.9999277571484191</v>
      </c>
      <c r="R31" s="66">
        <f>I31/12*3</f>
        <v>2989.35</v>
      </c>
      <c r="S31" s="66"/>
      <c r="T31" s="29"/>
      <c r="U31" s="94"/>
      <c r="V31" s="67" t="e">
        <f t="shared" si="6"/>
        <v>#DIV/0!</v>
      </c>
    </row>
    <row r="32" spans="1:26" ht="16.5" customHeight="1" x14ac:dyDescent="0.25">
      <c r="A32" s="128">
        <v>5</v>
      </c>
      <c r="B32" s="75" t="s">
        <v>29</v>
      </c>
      <c r="C32" s="76" t="s">
        <v>71</v>
      </c>
      <c r="D32" s="29">
        <v>11021.9</v>
      </c>
      <c r="E32" s="29">
        <v>18986.2</v>
      </c>
      <c r="F32" s="29">
        <v>18986.2</v>
      </c>
      <c r="G32" s="29">
        <f t="shared" ref="G32:P32" si="16">G34+G35</f>
        <v>12033.199999999999</v>
      </c>
      <c r="H32" s="29">
        <f>((G32-D32)/D32)*100</f>
        <v>9.1753690380061457</v>
      </c>
      <c r="I32" s="4">
        <f t="shared" si="16"/>
        <v>2177.6999999999998</v>
      </c>
      <c r="J32" s="4">
        <f t="shared" si="16"/>
        <v>2286.6</v>
      </c>
      <c r="K32" s="27">
        <f t="shared" si="2"/>
        <v>5.0006888001102121</v>
      </c>
      <c r="L32" s="4">
        <f t="shared" si="16"/>
        <v>2400.9</v>
      </c>
      <c r="M32" s="27">
        <f t="shared" si="3"/>
        <v>4.9986880083967549</v>
      </c>
      <c r="N32" s="4">
        <f t="shared" si="16"/>
        <v>2521</v>
      </c>
      <c r="O32" s="27">
        <f t="shared" si="4"/>
        <v>5.0022908076138073</v>
      </c>
      <c r="P32" s="4">
        <f t="shared" si="16"/>
        <v>2647</v>
      </c>
      <c r="Q32" s="109">
        <f t="shared" si="5"/>
        <v>4.9980166600555336</v>
      </c>
      <c r="R32" s="109">
        <f>I32/12*3</f>
        <v>544.42499999999995</v>
      </c>
      <c r="S32" s="109">
        <v>544.41999999999996</v>
      </c>
      <c r="T32" s="99">
        <f>S32/I32*100</f>
        <v>24.999770399963264</v>
      </c>
      <c r="U32" s="94"/>
      <c r="V32" s="67">
        <f t="shared" si="6"/>
        <v>4.5920007347201173</v>
      </c>
    </row>
    <row r="33" spans="1:25" ht="17.25" customHeight="1" x14ac:dyDescent="0.25">
      <c r="A33" s="128"/>
      <c r="B33" s="75" t="s">
        <v>27</v>
      </c>
      <c r="C33" s="76"/>
      <c r="D33" s="92"/>
      <c r="E33" s="92"/>
      <c r="F33" s="92"/>
      <c r="G33" s="31"/>
      <c r="H33" s="29"/>
      <c r="I33" s="47"/>
      <c r="J33" s="47"/>
      <c r="K33" s="29"/>
      <c r="L33" s="47"/>
      <c r="M33" s="29"/>
      <c r="N33" s="95"/>
      <c r="O33" s="29"/>
      <c r="P33" s="95"/>
      <c r="Q33" s="66"/>
      <c r="R33" s="66"/>
      <c r="S33" s="66"/>
      <c r="T33" s="29"/>
      <c r="U33" s="94"/>
      <c r="V33" s="67"/>
    </row>
    <row r="34" spans="1:25" ht="25.5" customHeight="1" x14ac:dyDescent="0.25">
      <c r="A34" s="32"/>
      <c r="B34" s="33" t="s">
        <v>31</v>
      </c>
      <c r="C34" s="34" t="s">
        <v>13</v>
      </c>
      <c r="D34" s="35">
        <v>1038.8</v>
      </c>
      <c r="E34" s="34">
        <v>955.7</v>
      </c>
      <c r="F34" s="34">
        <v>955.7</v>
      </c>
      <c r="G34" s="29">
        <f>I34+J34+L34+N34+P34</f>
        <v>12033.199999999999</v>
      </c>
      <c r="H34" s="29">
        <f>((G34-D34)/D34)*100</f>
        <v>1058.3750481324605</v>
      </c>
      <c r="I34" s="36">
        <v>2177.6999999999998</v>
      </c>
      <c r="J34" s="20">
        <v>2286.6</v>
      </c>
      <c r="K34" s="29">
        <f t="shared" si="2"/>
        <v>5.0006888001102121</v>
      </c>
      <c r="L34" s="20">
        <v>2400.9</v>
      </c>
      <c r="M34" s="29">
        <f t="shared" si="3"/>
        <v>4.9986880083967549</v>
      </c>
      <c r="N34" s="20">
        <v>2521</v>
      </c>
      <c r="O34" s="29">
        <f t="shared" si="4"/>
        <v>5.0022908076138073</v>
      </c>
      <c r="P34" s="20">
        <v>2647</v>
      </c>
      <c r="Q34" s="66">
        <f t="shared" si="5"/>
        <v>4.9980166600555336</v>
      </c>
      <c r="R34" s="66">
        <f>I34/12*3</f>
        <v>544.42499999999995</v>
      </c>
      <c r="S34" s="66">
        <v>544.41999999999996</v>
      </c>
      <c r="T34" s="94">
        <f>S34/I34*100</f>
        <v>24.999770399963264</v>
      </c>
      <c r="U34" s="94"/>
      <c r="V34" s="67">
        <f t="shared" si="6"/>
        <v>4.5920007347201173</v>
      </c>
    </row>
    <row r="35" spans="1:25" ht="54" customHeight="1" x14ac:dyDescent="0.25">
      <c r="A35" s="32"/>
      <c r="B35" s="33" t="s">
        <v>32</v>
      </c>
      <c r="C35" s="34" t="s">
        <v>13</v>
      </c>
      <c r="D35" s="35">
        <v>9983.1</v>
      </c>
      <c r="E35" s="35">
        <v>18030.5</v>
      </c>
      <c r="F35" s="35">
        <v>18030.5</v>
      </c>
      <c r="G35" s="29">
        <f>I35+J35+L35+N35+P35</f>
        <v>0</v>
      </c>
      <c r="H35" s="29">
        <f>((G35-D35)/D35)*100</f>
        <v>-100</v>
      </c>
      <c r="I35" s="20">
        <v>0</v>
      </c>
      <c r="J35" s="20">
        <v>0</v>
      </c>
      <c r="K35" s="29"/>
      <c r="L35" s="20">
        <v>0</v>
      </c>
      <c r="M35" s="29"/>
      <c r="N35" s="20">
        <v>0</v>
      </c>
      <c r="O35" s="29"/>
      <c r="P35" s="20">
        <v>0</v>
      </c>
      <c r="Q35" s="66"/>
      <c r="R35" s="66"/>
      <c r="S35" s="66"/>
      <c r="T35" s="29"/>
      <c r="U35" s="94"/>
      <c r="V35" s="67"/>
      <c r="W35" s="37"/>
      <c r="X35" s="37"/>
      <c r="Y35" s="37"/>
    </row>
    <row r="36" spans="1:25" ht="15.75" customHeight="1" x14ac:dyDescent="0.25">
      <c r="A36" s="32"/>
      <c r="B36" s="33" t="s">
        <v>33</v>
      </c>
      <c r="C36" s="34"/>
      <c r="D36" s="92"/>
      <c r="E36" s="92"/>
      <c r="F36" s="92"/>
      <c r="G36" s="29"/>
      <c r="H36" s="29"/>
      <c r="I36" s="20"/>
      <c r="J36" s="20"/>
      <c r="K36" s="29"/>
      <c r="L36" s="20"/>
      <c r="M36" s="29"/>
      <c r="N36" s="20"/>
      <c r="O36" s="29"/>
      <c r="P36" s="20"/>
      <c r="Q36" s="66"/>
      <c r="R36" s="66"/>
      <c r="S36" s="66"/>
      <c r="T36" s="35"/>
      <c r="U36" s="94"/>
      <c r="V36" s="67"/>
      <c r="W36" s="38"/>
      <c r="X36" s="38"/>
      <c r="Y36" s="38"/>
    </row>
    <row r="37" spans="1:25" ht="12.75" customHeight="1" x14ac:dyDescent="0.25">
      <c r="A37" s="128" t="s">
        <v>34</v>
      </c>
      <c r="B37" s="75" t="s">
        <v>76</v>
      </c>
      <c r="C37" s="76" t="s">
        <v>13</v>
      </c>
      <c r="D37" s="29">
        <v>29494.400000000001</v>
      </c>
      <c r="E37" s="29">
        <v>35704.6</v>
      </c>
      <c r="F37" s="29">
        <v>35704.6</v>
      </c>
      <c r="G37" s="9">
        <f t="shared" ref="G37:P37" si="17">G39</f>
        <v>146600.80000000002</v>
      </c>
      <c r="H37" s="29">
        <f>((G37-D37)/D37)*100</f>
        <v>397.04621894325709</v>
      </c>
      <c r="I37" s="4">
        <f t="shared" si="17"/>
        <v>27017.000000000004</v>
      </c>
      <c r="J37" s="4">
        <f t="shared" si="17"/>
        <v>28112.400000000001</v>
      </c>
      <c r="K37" s="27">
        <f t="shared" si="2"/>
        <v>4.0544842136432528</v>
      </c>
      <c r="L37" s="4">
        <f t="shared" si="17"/>
        <v>29262.600000000002</v>
      </c>
      <c r="M37" s="27">
        <f t="shared" si="3"/>
        <v>4.0914329619669632</v>
      </c>
      <c r="N37" s="4">
        <f t="shared" si="17"/>
        <v>30470.300000000003</v>
      </c>
      <c r="O37" s="27">
        <f t="shared" si="4"/>
        <v>4.1271110564338116</v>
      </c>
      <c r="P37" s="4">
        <f t="shared" si="17"/>
        <v>31738.5</v>
      </c>
      <c r="Q37" s="109">
        <f t="shared" si="5"/>
        <v>4.1620857031272971</v>
      </c>
      <c r="R37" s="109">
        <f>I37/12*3</f>
        <v>6754.2500000000009</v>
      </c>
      <c r="S37" s="109">
        <v>11423.4</v>
      </c>
      <c r="T37" s="99">
        <f>S37/I37*100</f>
        <v>42.282266720953466</v>
      </c>
      <c r="U37" s="94"/>
      <c r="V37" s="67">
        <f t="shared" si="6"/>
        <v>0.37013732094607094</v>
      </c>
    </row>
    <row r="38" spans="1:25" ht="15.75" customHeight="1" x14ac:dyDescent="0.25">
      <c r="A38" s="128"/>
      <c r="B38" s="75" t="s">
        <v>77</v>
      </c>
      <c r="C38" s="76"/>
      <c r="D38" s="92"/>
      <c r="E38" s="92"/>
      <c r="F38" s="92"/>
      <c r="G38" s="31"/>
      <c r="H38" s="29"/>
      <c r="I38" s="47"/>
      <c r="J38" s="47"/>
      <c r="K38" s="29"/>
      <c r="L38" s="47"/>
      <c r="M38" s="29"/>
      <c r="N38" s="95"/>
      <c r="O38" s="29"/>
      <c r="P38" s="95"/>
      <c r="Q38" s="66"/>
      <c r="R38" s="66"/>
      <c r="S38" s="66"/>
      <c r="T38" s="95"/>
      <c r="U38" s="94"/>
      <c r="V38" s="67"/>
    </row>
    <row r="39" spans="1:25" ht="27.75" customHeight="1" x14ac:dyDescent="0.25">
      <c r="A39" s="128">
        <v>6</v>
      </c>
      <c r="B39" s="75" t="s">
        <v>36</v>
      </c>
      <c r="C39" s="76" t="s">
        <v>13</v>
      </c>
      <c r="D39" s="29">
        <v>29494.400000000001</v>
      </c>
      <c r="E39" s="29">
        <v>35704.6</v>
      </c>
      <c r="F39" s="29">
        <v>35704.6</v>
      </c>
      <c r="G39" s="29">
        <f t="shared" ref="G39:P39" si="18">G41+G42+G43+G44</f>
        <v>146600.80000000002</v>
      </c>
      <c r="H39" s="29">
        <f>((G39-D39)/D39)*100</f>
        <v>397.04621894325709</v>
      </c>
      <c r="I39" s="27">
        <f t="shared" si="18"/>
        <v>27017.000000000004</v>
      </c>
      <c r="J39" s="27">
        <f t="shared" si="18"/>
        <v>28112.400000000001</v>
      </c>
      <c r="K39" s="27">
        <f t="shared" si="2"/>
        <v>4.0544842136432528</v>
      </c>
      <c r="L39" s="27">
        <f t="shared" si="18"/>
        <v>29262.600000000002</v>
      </c>
      <c r="M39" s="27">
        <f t="shared" si="3"/>
        <v>4.0914329619669632</v>
      </c>
      <c r="N39" s="27">
        <f t="shared" si="18"/>
        <v>30470.300000000003</v>
      </c>
      <c r="O39" s="27">
        <f t="shared" si="4"/>
        <v>4.1271110564338116</v>
      </c>
      <c r="P39" s="27">
        <f t="shared" si="18"/>
        <v>31738.5</v>
      </c>
      <c r="Q39" s="109">
        <f t="shared" si="5"/>
        <v>4.1620857031272971</v>
      </c>
      <c r="R39" s="109">
        <f>I39/12*3</f>
        <v>6754.2500000000009</v>
      </c>
      <c r="S39" s="109">
        <v>11423.4</v>
      </c>
      <c r="T39" s="99">
        <f>S39/I39*100</f>
        <v>42.282266720953466</v>
      </c>
      <c r="U39" s="94"/>
      <c r="V39" s="67">
        <f t="shared" si="6"/>
        <v>0.37013732094607094</v>
      </c>
      <c r="W39" s="5"/>
      <c r="X39" s="5"/>
      <c r="Y39" s="5"/>
    </row>
    <row r="40" spans="1:25" ht="13.5" customHeight="1" x14ac:dyDescent="0.25">
      <c r="A40" s="128"/>
      <c r="B40" s="30" t="s">
        <v>27</v>
      </c>
      <c r="C40" s="76"/>
      <c r="D40" s="92"/>
      <c r="E40" s="92"/>
      <c r="F40" s="92"/>
      <c r="G40" s="31"/>
      <c r="H40" s="29"/>
      <c r="I40" s="47"/>
      <c r="J40" s="47"/>
      <c r="K40" s="29"/>
      <c r="L40" s="47"/>
      <c r="M40" s="29"/>
      <c r="N40" s="95"/>
      <c r="O40" s="29"/>
      <c r="P40" s="95"/>
      <c r="Q40" s="66"/>
      <c r="R40" s="66"/>
      <c r="S40" s="66"/>
      <c r="T40" s="95"/>
      <c r="U40" s="94"/>
      <c r="V40" s="67"/>
    </row>
    <row r="41" spans="1:25" ht="30" customHeight="1" x14ac:dyDescent="0.25">
      <c r="A41" s="77">
        <v>6.1</v>
      </c>
      <c r="B41" s="30" t="s">
        <v>37</v>
      </c>
      <c r="C41" s="31" t="s">
        <v>13</v>
      </c>
      <c r="D41" s="29">
        <v>13386.02</v>
      </c>
      <c r="E41" s="29">
        <v>16714</v>
      </c>
      <c r="F41" s="29">
        <v>16714</v>
      </c>
      <c r="G41" s="29">
        <f>I41+J41+L41+N41+P41</f>
        <v>103473</v>
      </c>
      <c r="H41" s="29">
        <f>((G41-D41)/D41)*100</f>
        <v>672.99301808902112</v>
      </c>
      <c r="I41" s="9">
        <v>18726</v>
      </c>
      <c r="J41" s="9">
        <v>19662.3</v>
      </c>
      <c r="K41" s="29">
        <f t="shared" si="2"/>
        <v>4.9999999999999964</v>
      </c>
      <c r="L41" s="9">
        <v>20645.400000000001</v>
      </c>
      <c r="M41" s="29">
        <f t="shared" si="3"/>
        <v>4.9999237118750202</v>
      </c>
      <c r="N41" s="9">
        <v>21677.7</v>
      </c>
      <c r="O41" s="29">
        <f t="shared" si="4"/>
        <v>5.0001453108198399</v>
      </c>
      <c r="P41" s="9">
        <v>22761.599999999999</v>
      </c>
      <c r="Q41" s="66">
        <f t="shared" si="5"/>
        <v>5.0000691955327259</v>
      </c>
      <c r="R41" s="66">
        <f t="shared" ref="R41:R44" si="19">I41/12*3</f>
        <v>4681.5</v>
      </c>
      <c r="S41" s="66">
        <v>7855.5</v>
      </c>
      <c r="T41" s="94">
        <f t="shared" ref="T41:T44" si="20">S41/I41*100</f>
        <v>41.949695610381291</v>
      </c>
      <c r="U41" s="94"/>
      <c r="V41" s="67">
        <f t="shared" si="6"/>
        <v>0.5340168749332479</v>
      </c>
    </row>
    <row r="42" spans="1:25" ht="17.25" customHeight="1" thickBot="1" x14ac:dyDescent="0.3">
      <c r="A42" s="77">
        <v>6.2</v>
      </c>
      <c r="B42" s="30" t="s">
        <v>24</v>
      </c>
      <c r="C42" s="31" t="s">
        <v>13</v>
      </c>
      <c r="D42" s="31">
        <v>2315.7800000000002</v>
      </c>
      <c r="E42" s="29">
        <v>1671.4</v>
      </c>
      <c r="F42" s="29">
        <v>1671.4</v>
      </c>
      <c r="G42" s="29">
        <f>I42+J42+L42+N42+P42</f>
        <v>11382.099999999999</v>
      </c>
      <c r="H42" s="29">
        <f>((G42-D42)/D42)*100</f>
        <v>391.50178341638656</v>
      </c>
      <c r="I42" s="29">
        <v>2059.9</v>
      </c>
      <c r="J42" s="9">
        <v>2162.9</v>
      </c>
      <c r="K42" s="29">
        <f t="shared" si="2"/>
        <v>5.0002427302296226</v>
      </c>
      <c r="L42" s="9">
        <v>2271</v>
      </c>
      <c r="M42" s="29">
        <f t="shared" si="3"/>
        <v>4.997919459984276</v>
      </c>
      <c r="N42" s="9">
        <v>2384.5</v>
      </c>
      <c r="O42" s="29">
        <f t="shared" si="4"/>
        <v>4.9977983267283133</v>
      </c>
      <c r="P42" s="9">
        <v>2503.8000000000002</v>
      </c>
      <c r="Q42" s="66">
        <f t="shared" si="5"/>
        <v>5.0031453134829178</v>
      </c>
      <c r="R42" s="66">
        <f t="shared" si="19"/>
        <v>514.97500000000002</v>
      </c>
      <c r="S42" s="66">
        <v>782.2</v>
      </c>
      <c r="T42" s="94">
        <f t="shared" si="20"/>
        <v>37.972717122190396</v>
      </c>
      <c r="U42" s="94"/>
      <c r="V42" s="67">
        <f t="shared" si="6"/>
        <v>4.854604592455944</v>
      </c>
      <c r="W42" s="13"/>
      <c r="X42" s="13"/>
      <c r="Y42" s="13"/>
    </row>
    <row r="43" spans="1:25" ht="14.25" customHeight="1" thickBot="1" x14ac:dyDescent="0.3">
      <c r="A43" s="77">
        <v>6.3</v>
      </c>
      <c r="B43" s="30" t="s">
        <v>33</v>
      </c>
      <c r="C43" s="31" t="s">
        <v>13</v>
      </c>
      <c r="D43" s="31">
        <v>3031.4</v>
      </c>
      <c r="E43" s="29">
        <v>4526</v>
      </c>
      <c r="F43" s="29">
        <v>4526</v>
      </c>
      <c r="G43" s="29">
        <f>I43+J43+L43+N43+P43</f>
        <v>15157</v>
      </c>
      <c r="H43" s="29">
        <f>((G43-D43)/D43)*100</f>
        <v>400</v>
      </c>
      <c r="I43" s="9">
        <v>3031.4</v>
      </c>
      <c r="J43" s="9">
        <v>3031.4</v>
      </c>
      <c r="K43" s="29">
        <f t="shared" si="2"/>
        <v>0</v>
      </c>
      <c r="L43" s="9">
        <v>3031.4</v>
      </c>
      <c r="M43" s="29">
        <f t="shared" si="3"/>
        <v>0</v>
      </c>
      <c r="N43" s="9">
        <v>3031.4</v>
      </c>
      <c r="O43" s="29">
        <f t="shared" si="4"/>
        <v>0</v>
      </c>
      <c r="P43" s="9">
        <v>3031.4</v>
      </c>
      <c r="Q43" s="66">
        <f t="shared" si="5"/>
        <v>0</v>
      </c>
      <c r="R43" s="66">
        <f t="shared" si="19"/>
        <v>757.85</v>
      </c>
      <c r="S43" s="66">
        <v>1714.3</v>
      </c>
      <c r="T43" s="94">
        <f t="shared" si="20"/>
        <v>56.551428382925373</v>
      </c>
      <c r="U43" s="94"/>
      <c r="V43" s="67">
        <f t="shared" si="6"/>
        <v>3.2988058322887115</v>
      </c>
      <c r="W43" s="39"/>
      <c r="X43" s="39"/>
      <c r="Y43" s="39"/>
    </row>
    <row r="44" spans="1:25" ht="18" customHeight="1" x14ac:dyDescent="0.25">
      <c r="A44" s="127">
        <v>6.4</v>
      </c>
      <c r="B44" s="40" t="s">
        <v>38</v>
      </c>
      <c r="C44" s="41" t="s">
        <v>13</v>
      </c>
      <c r="D44" s="35">
        <v>10761.2</v>
      </c>
      <c r="E44" s="35">
        <v>12793.2</v>
      </c>
      <c r="F44" s="35">
        <v>12793.2</v>
      </c>
      <c r="G44" s="20">
        <f t="shared" ref="G44:P44" si="21">G46+G47+G48+G49+G50+G51+G52+G57</f>
        <v>16588.7</v>
      </c>
      <c r="H44" s="29">
        <f>((G44-D44)/D44)*100</f>
        <v>54.152882578151129</v>
      </c>
      <c r="I44" s="110">
        <f t="shared" si="21"/>
        <v>3199.7</v>
      </c>
      <c r="J44" s="110">
        <f t="shared" si="21"/>
        <v>3255.8</v>
      </c>
      <c r="K44" s="111">
        <f t="shared" si="2"/>
        <v>1.7532893708785313</v>
      </c>
      <c r="L44" s="110">
        <f t="shared" si="21"/>
        <v>3314.8</v>
      </c>
      <c r="M44" s="111">
        <f t="shared" si="3"/>
        <v>1.8121506235026719</v>
      </c>
      <c r="N44" s="110">
        <f t="shared" si="21"/>
        <v>3376.7</v>
      </c>
      <c r="O44" s="111">
        <f t="shared" si="4"/>
        <v>1.8673826475202013</v>
      </c>
      <c r="P44" s="110">
        <f t="shared" si="21"/>
        <v>3441.7</v>
      </c>
      <c r="Q44" s="112">
        <f t="shared" si="5"/>
        <v>1.9249563182989309</v>
      </c>
      <c r="R44" s="112">
        <f t="shared" si="19"/>
        <v>799.92499999999995</v>
      </c>
      <c r="S44" s="112">
        <v>1071.4000000000001</v>
      </c>
      <c r="T44" s="99">
        <f t="shared" si="20"/>
        <v>33.484389161483897</v>
      </c>
      <c r="U44" s="94"/>
      <c r="V44" s="67">
        <f t="shared" si="6"/>
        <v>3.1252929962183957</v>
      </c>
    </row>
    <row r="45" spans="1:25" ht="13.5" customHeight="1" x14ac:dyDescent="0.25">
      <c r="A45" s="127"/>
      <c r="B45" s="30" t="s">
        <v>78</v>
      </c>
      <c r="C45" s="31" t="s">
        <v>13</v>
      </c>
      <c r="D45" s="92"/>
      <c r="E45" s="92"/>
      <c r="F45" s="92"/>
      <c r="G45" s="31"/>
      <c r="H45" s="29"/>
      <c r="I45" s="47"/>
      <c r="J45" s="47"/>
      <c r="K45" s="29"/>
      <c r="L45" s="47"/>
      <c r="M45" s="29"/>
      <c r="N45" s="95"/>
      <c r="O45" s="29"/>
      <c r="P45" s="95"/>
      <c r="Q45" s="66"/>
      <c r="R45" s="66"/>
      <c r="S45" s="66"/>
      <c r="T45" s="95"/>
      <c r="U45" s="94"/>
      <c r="V45" s="67"/>
    </row>
    <row r="46" spans="1:25" ht="14.25" customHeight="1" x14ac:dyDescent="0.25">
      <c r="A46" s="32"/>
      <c r="B46" s="33" t="s">
        <v>25</v>
      </c>
      <c r="C46" s="34" t="s">
        <v>13</v>
      </c>
      <c r="D46" s="34">
        <v>817.1</v>
      </c>
      <c r="E46" s="34">
        <v>554</v>
      </c>
      <c r="F46" s="34">
        <v>554</v>
      </c>
      <c r="G46" s="29">
        <f t="shared" ref="G46:G52" si="22">I46+J46+L46+N46+P46</f>
        <v>922.5</v>
      </c>
      <c r="H46" s="29">
        <f>((G46-D46)/D46)*100</f>
        <v>12.899277934157382</v>
      </c>
      <c r="I46" s="19">
        <v>184.5</v>
      </c>
      <c r="J46" s="19">
        <v>184.5</v>
      </c>
      <c r="K46" s="29">
        <f t="shared" si="2"/>
        <v>0</v>
      </c>
      <c r="L46" s="19">
        <v>184.5</v>
      </c>
      <c r="M46" s="29">
        <f t="shared" si="3"/>
        <v>0</v>
      </c>
      <c r="N46" s="19">
        <v>184.5</v>
      </c>
      <c r="O46" s="29">
        <f t="shared" si="4"/>
        <v>0</v>
      </c>
      <c r="P46" s="19">
        <v>184.5</v>
      </c>
      <c r="Q46" s="66">
        <f t="shared" si="5"/>
        <v>0</v>
      </c>
      <c r="R46" s="66">
        <f t="shared" ref="R46:R47" si="23">I46/12*3</f>
        <v>46.125</v>
      </c>
      <c r="S46" s="66">
        <v>191.7</v>
      </c>
      <c r="T46" s="94">
        <f t="shared" ref="T46:T47" si="24">S46/I46*100</f>
        <v>103.90243902439025</v>
      </c>
      <c r="U46" s="94"/>
      <c r="V46" s="67">
        <f t="shared" si="6"/>
        <v>54.200542005420061</v>
      </c>
    </row>
    <row r="47" spans="1:25" ht="15" customHeight="1" x14ac:dyDescent="0.25">
      <c r="A47" s="32"/>
      <c r="B47" s="33" t="s">
        <v>39</v>
      </c>
      <c r="C47" s="34" t="s">
        <v>13</v>
      </c>
      <c r="D47" s="92"/>
      <c r="E47" s="92"/>
      <c r="F47" s="92"/>
      <c r="G47" s="29">
        <f t="shared" si="22"/>
        <v>4069.5</v>
      </c>
      <c r="H47" s="29"/>
      <c r="I47" s="19">
        <v>813.9</v>
      </c>
      <c r="J47" s="19">
        <v>813.9</v>
      </c>
      <c r="K47" s="29">
        <f t="shared" si="2"/>
        <v>0</v>
      </c>
      <c r="L47" s="19">
        <v>813.9</v>
      </c>
      <c r="M47" s="29">
        <f t="shared" si="3"/>
        <v>0</v>
      </c>
      <c r="N47" s="19">
        <v>813.9</v>
      </c>
      <c r="O47" s="29">
        <f t="shared" si="4"/>
        <v>0</v>
      </c>
      <c r="P47" s="19">
        <v>813.9</v>
      </c>
      <c r="Q47" s="66">
        <f t="shared" si="5"/>
        <v>0</v>
      </c>
      <c r="R47" s="66">
        <f t="shared" si="23"/>
        <v>203.47500000000002</v>
      </c>
      <c r="S47" s="66">
        <v>143.19999999999999</v>
      </c>
      <c r="T47" s="94">
        <f t="shared" si="24"/>
        <v>17.594299053937828</v>
      </c>
      <c r="U47" s="94"/>
      <c r="V47" s="67">
        <f t="shared" si="6"/>
        <v>12.286521685710774</v>
      </c>
    </row>
    <row r="48" spans="1:25" ht="25.5" customHeight="1" x14ac:dyDescent="0.25">
      <c r="A48" s="32"/>
      <c r="B48" s="18" t="s">
        <v>70</v>
      </c>
      <c r="C48" s="34"/>
      <c r="D48" s="92"/>
      <c r="E48" s="92"/>
      <c r="F48" s="92"/>
      <c r="G48" s="29">
        <f t="shared" si="22"/>
        <v>0</v>
      </c>
      <c r="H48" s="29"/>
      <c r="I48" s="19">
        <v>0</v>
      </c>
      <c r="J48" s="19">
        <v>0</v>
      </c>
      <c r="K48" s="29"/>
      <c r="L48" s="19">
        <v>0</v>
      </c>
      <c r="M48" s="29"/>
      <c r="N48" s="19">
        <v>0</v>
      </c>
      <c r="O48" s="29"/>
      <c r="P48" s="19">
        <v>0</v>
      </c>
      <c r="Q48" s="66"/>
      <c r="R48" s="66"/>
      <c r="S48" s="66"/>
      <c r="T48" s="29"/>
      <c r="U48" s="94"/>
      <c r="V48" s="67"/>
    </row>
    <row r="49" spans="1:22" ht="24" customHeight="1" x14ac:dyDescent="0.25">
      <c r="A49" s="32"/>
      <c r="B49" s="33" t="s">
        <v>79</v>
      </c>
      <c r="C49" s="34" t="s">
        <v>13</v>
      </c>
      <c r="D49" s="35">
        <v>1307.8</v>
      </c>
      <c r="E49" s="42">
        <v>1307.8</v>
      </c>
      <c r="F49" s="42">
        <v>1307.8</v>
      </c>
      <c r="G49" s="29">
        <f t="shared" si="22"/>
        <v>1512</v>
      </c>
      <c r="H49" s="29">
        <f>((G49-D49)/D49)*100</f>
        <v>15.61400825814345</v>
      </c>
      <c r="I49" s="19">
        <v>302.39999999999998</v>
      </c>
      <c r="J49" s="19">
        <v>302.39999999999998</v>
      </c>
      <c r="K49" s="29">
        <f t="shared" si="2"/>
        <v>0</v>
      </c>
      <c r="L49" s="19">
        <v>302.39999999999998</v>
      </c>
      <c r="M49" s="29">
        <f t="shared" si="3"/>
        <v>0</v>
      </c>
      <c r="N49" s="19">
        <v>302.39999999999998</v>
      </c>
      <c r="O49" s="29">
        <f t="shared" si="4"/>
        <v>0</v>
      </c>
      <c r="P49" s="19">
        <v>302.39999999999998</v>
      </c>
      <c r="Q49" s="66">
        <f t="shared" si="5"/>
        <v>0</v>
      </c>
      <c r="R49" s="66">
        <f t="shared" ref="R49:R52" si="25">I49/12*3</f>
        <v>75.599999999999994</v>
      </c>
      <c r="S49" s="66">
        <v>112</v>
      </c>
      <c r="T49" s="94">
        <f t="shared" ref="T49:T52" si="26">S49/I49*100</f>
        <v>37.037037037037038</v>
      </c>
      <c r="U49" s="94"/>
      <c r="V49" s="67">
        <f t="shared" si="6"/>
        <v>33.06878306878307</v>
      </c>
    </row>
    <row r="50" spans="1:22" ht="13.5" customHeight="1" x14ac:dyDescent="0.25">
      <c r="A50" s="32"/>
      <c r="B50" s="33" t="s">
        <v>41</v>
      </c>
      <c r="C50" s="34" t="s">
        <v>13</v>
      </c>
      <c r="D50" s="34">
        <v>581.9</v>
      </c>
      <c r="E50" s="34">
        <v>908.5</v>
      </c>
      <c r="F50" s="34">
        <v>908.5</v>
      </c>
      <c r="G50" s="29">
        <f t="shared" si="22"/>
        <v>6204.7000000000007</v>
      </c>
      <c r="H50" s="29">
        <f>((G50-D50)/D50)*100</f>
        <v>966.28286647190259</v>
      </c>
      <c r="I50" s="20">
        <v>1122.9000000000001</v>
      </c>
      <c r="J50" s="20">
        <v>1179</v>
      </c>
      <c r="K50" s="29">
        <f t="shared" si="2"/>
        <v>4.995992519369481</v>
      </c>
      <c r="L50" s="20">
        <v>1238</v>
      </c>
      <c r="M50" s="29">
        <f t="shared" si="3"/>
        <v>5.0042408821034776</v>
      </c>
      <c r="N50" s="20">
        <v>1299.9000000000001</v>
      </c>
      <c r="O50" s="29">
        <f t="shared" si="4"/>
        <v>5.0000000000000071</v>
      </c>
      <c r="P50" s="20">
        <v>1364.9</v>
      </c>
      <c r="Q50" s="66">
        <f t="shared" si="5"/>
        <v>5.0003846449726899</v>
      </c>
      <c r="R50" s="66">
        <f t="shared" si="25"/>
        <v>280.72500000000002</v>
      </c>
      <c r="S50" s="66">
        <v>396</v>
      </c>
      <c r="T50" s="94">
        <f t="shared" si="26"/>
        <v>35.265829548490515</v>
      </c>
      <c r="U50" s="94"/>
      <c r="V50" s="67">
        <f t="shared" si="6"/>
        <v>8.90551251224508</v>
      </c>
    </row>
    <row r="51" spans="1:22" ht="25.5" customHeight="1" x14ac:dyDescent="0.25">
      <c r="A51" s="32"/>
      <c r="B51" s="33" t="s">
        <v>45</v>
      </c>
      <c r="C51" s="34" t="s">
        <v>13</v>
      </c>
      <c r="D51" s="35">
        <v>1187.3</v>
      </c>
      <c r="E51" s="92"/>
      <c r="F51" s="92"/>
      <c r="G51" s="29">
        <f t="shared" si="22"/>
        <v>3060</v>
      </c>
      <c r="H51" s="29">
        <f>((G51-D51)/D51)*100</f>
        <v>157.72761728291081</v>
      </c>
      <c r="I51" s="19">
        <v>612</v>
      </c>
      <c r="J51" s="19">
        <v>612</v>
      </c>
      <c r="K51" s="29">
        <f t="shared" si="2"/>
        <v>0</v>
      </c>
      <c r="L51" s="19">
        <v>612</v>
      </c>
      <c r="M51" s="29">
        <f t="shared" si="3"/>
        <v>0</v>
      </c>
      <c r="N51" s="19">
        <v>612</v>
      </c>
      <c r="O51" s="29">
        <f t="shared" si="4"/>
        <v>0</v>
      </c>
      <c r="P51" s="19">
        <v>612</v>
      </c>
      <c r="Q51" s="66">
        <f t="shared" si="5"/>
        <v>0</v>
      </c>
      <c r="R51" s="66">
        <f t="shared" si="25"/>
        <v>153</v>
      </c>
      <c r="S51" s="66">
        <v>187.5</v>
      </c>
      <c r="T51" s="94">
        <f t="shared" si="26"/>
        <v>30.637254901960787</v>
      </c>
      <c r="U51" s="94"/>
      <c r="V51" s="67">
        <f t="shared" si="6"/>
        <v>16.339869281045754</v>
      </c>
    </row>
    <row r="52" spans="1:22" ht="24.75" customHeight="1" x14ac:dyDescent="0.25">
      <c r="A52" s="32"/>
      <c r="B52" s="33" t="s">
        <v>80</v>
      </c>
      <c r="C52" s="34" t="s">
        <v>13</v>
      </c>
      <c r="D52" s="92"/>
      <c r="E52" s="92"/>
      <c r="F52" s="92"/>
      <c r="G52" s="29">
        <f t="shared" si="22"/>
        <v>820</v>
      </c>
      <c r="H52" s="29"/>
      <c r="I52" s="19">
        <v>164</v>
      </c>
      <c r="J52" s="19">
        <v>164</v>
      </c>
      <c r="K52" s="29">
        <f t="shared" si="2"/>
        <v>0</v>
      </c>
      <c r="L52" s="19">
        <v>164</v>
      </c>
      <c r="M52" s="29">
        <f t="shared" si="3"/>
        <v>0</v>
      </c>
      <c r="N52" s="19">
        <v>164</v>
      </c>
      <c r="O52" s="29">
        <f t="shared" si="4"/>
        <v>0</v>
      </c>
      <c r="P52" s="19">
        <v>164</v>
      </c>
      <c r="Q52" s="66">
        <f t="shared" si="5"/>
        <v>0</v>
      </c>
      <c r="R52" s="66">
        <f t="shared" si="25"/>
        <v>41</v>
      </c>
      <c r="S52" s="66">
        <v>41</v>
      </c>
      <c r="T52" s="94">
        <f t="shared" si="26"/>
        <v>25</v>
      </c>
      <c r="U52" s="94"/>
      <c r="V52" s="67">
        <f t="shared" si="6"/>
        <v>60.975609756097562</v>
      </c>
    </row>
    <row r="53" spans="1:22" ht="12.75" customHeight="1" x14ac:dyDescent="0.25">
      <c r="A53" s="77"/>
      <c r="B53" s="33" t="s">
        <v>81</v>
      </c>
      <c r="C53" s="34" t="s">
        <v>13</v>
      </c>
      <c r="D53" s="35">
        <v>5400</v>
      </c>
      <c r="E53" s="42">
        <v>5400</v>
      </c>
      <c r="F53" s="42">
        <v>5400</v>
      </c>
      <c r="G53" s="29"/>
      <c r="H53" s="29">
        <f>((G53-D53)/D53)*100</f>
        <v>-100</v>
      </c>
      <c r="I53" s="47"/>
      <c r="J53" s="47"/>
      <c r="K53" s="29"/>
      <c r="L53" s="47"/>
      <c r="M53" s="29"/>
      <c r="N53" s="95"/>
      <c r="O53" s="29"/>
      <c r="P53" s="95"/>
      <c r="Q53" s="66"/>
      <c r="R53" s="66"/>
      <c r="S53" s="66"/>
      <c r="T53" s="95"/>
      <c r="U53" s="94"/>
      <c r="V53" s="67"/>
    </row>
    <row r="54" spans="1:22" ht="15" customHeight="1" x14ac:dyDescent="0.25">
      <c r="A54" s="77"/>
      <c r="B54" s="33" t="s">
        <v>82</v>
      </c>
      <c r="C54" s="34"/>
      <c r="D54" s="92"/>
      <c r="E54" s="42">
        <v>2250</v>
      </c>
      <c r="F54" s="42">
        <v>2250</v>
      </c>
      <c r="G54" s="29"/>
      <c r="H54" s="29"/>
      <c r="I54" s="47"/>
      <c r="J54" s="47"/>
      <c r="K54" s="29"/>
      <c r="L54" s="47"/>
      <c r="M54" s="29"/>
      <c r="N54" s="95"/>
      <c r="O54" s="29"/>
      <c r="P54" s="95"/>
      <c r="Q54" s="66"/>
      <c r="R54" s="66"/>
      <c r="S54" s="66"/>
      <c r="T54" s="95"/>
      <c r="U54" s="94"/>
      <c r="V54" s="67"/>
    </row>
    <row r="55" spans="1:22" ht="13.5" customHeight="1" x14ac:dyDescent="0.25">
      <c r="A55" s="77"/>
      <c r="B55" s="33" t="s">
        <v>83</v>
      </c>
      <c r="C55" s="34" t="s">
        <v>13</v>
      </c>
      <c r="D55" s="34">
        <v>390.5</v>
      </c>
      <c r="E55" s="43">
        <v>532</v>
      </c>
      <c r="F55" s="43">
        <v>532</v>
      </c>
      <c r="G55" s="29"/>
      <c r="H55" s="29">
        <f>((G55-D55)/D55)*100</f>
        <v>-100</v>
      </c>
      <c r="I55" s="47"/>
      <c r="J55" s="8"/>
      <c r="K55" s="29"/>
      <c r="L55" s="8"/>
      <c r="M55" s="29"/>
      <c r="N55" s="8"/>
      <c r="O55" s="29"/>
      <c r="P55" s="8"/>
      <c r="Q55" s="66"/>
      <c r="R55" s="66"/>
      <c r="S55" s="66"/>
      <c r="T55" s="95"/>
      <c r="U55" s="94"/>
      <c r="V55" s="67"/>
    </row>
    <row r="56" spans="1:22" ht="24" customHeight="1" x14ac:dyDescent="0.25">
      <c r="A56" s="77"/>
      <c r="B56" s="33" t="s">
        <v>84</v>
      </c>
      <c r="C56" s="34" t="s">
        <v>13</v>
      </c>
      <c r="D56" s="34">
        <v>409.8</v>
      </c>
      <c r="E56" s="43">
        <v>409.8</v>
      </c>
      <c r="F56" s="43">
        <v>409.8</v>
      </c>
      <c r="G56" s="29"/>
      <c r="H56" s="29">
        <f>((G56-D56)/D56)*100</f>
        <v>-100</v>
      </c>
      <c r="I56" s="47"/>
      <c r="J56" s="47"/>
      <c r="K56" s="29"/>
      <c r="L56" s="47"/>
      <c r="M56" s="29"/>
      <c r="N56" s="95"/>
      <c r="O56" s="29"/>
      <c r="P56" s="95"/>
      <c r="Q56" s="66"/>
      <c r="R56" s="66"/>
      <c r="S56" s="66"/>
      <c r="T56" s="95"/>
      <c r="U56" s="94"/>
      <c r="V56" s="67"/>
    </row>
    <row r="57" spans="1:22" ht="38.25" customHeight="1" x14ac:dyDescent="0.25">
      <c r="A57" s="77"/>
      <c r="B57" s="33" t="s">
        <v>85</v>
      </c>
      <c r="C57" s="31" t="s">
        <v>13</v>
      </c>
      <c r="D57" s="34">
        <v>666.8</v>
      </c>
      <c r="E57" s="42">
        <v>1431.1</v>
      </c>
      <c r="F57" s="42">
        <v>1431.1</v>
      </c>
      <c r="G57" s="29">
        <f t="shared" ref="G57" si="27">I57+J57+L57+N57+P57</f>
        <v>0</v>
      </c>
      <c r="H57" s="29">
        <f>((G57-D57)/D57)*100</f>
        <v>-100</v>
      </c>
      <c r="I57" s="20">
        <v>0</v>
      </c>
      <c r="J57" s="20">
        <v>0</v>
      </c>
      <c r="K57" s="29"/>
      <c r="L57" s="20">
        <v>0</v>
      </c>
      <c r="M57" s="29"/>
      <c r="N57" s="20">
        <v>0</v>
      </c>
      <c r="O57" s="29"/>
      <c r="P57" s="20">
        <v>0</v>
      </c>
      <c r="Q57" s="66"/>
      <c r="R57" s="66"/>
      <c r="S57" s="66"/>
      <c r="T57" s="29"/>
      <c r="U57" s="94"/>
      <c r="V57" s="67"/>
    </row>
    <row r="58" spans="1:22" ht="25.5" customHeight="1" x14ac:dyDescent="0.25">
      <c r="A58" s="74">
        <v>7</v>
      </c>
      <c r="B58" s="75" t="s">
        <v>48</v>
      </c>
      <c r="C58" s="76" t="s">
        <v>13</v>
      </c>
      <c r="D58" s="92"/>
      <c r="E58" s="92"/>
      <c r="F58" s="92"/>
      <c r="G58" s="31"/>
      <c r="H58" s="29"/>
      <c r="I58" s="47"/>
      <c r="J58" s="47"/>
      <c r="K58" s="29"/>
      <c r="L58" s="47"/>
      <c r="M58" s="29"/>
      <c r="N58" s="95"/>
      <c r="O58" s="29"/>
      <c r="P58" s="95"/>
      <c r="Q58" s="66"/>
      <c r="R58" s="66"/>
      <c r="S58" s="66"/>
      <c r="T58" s="95"/>
      <c r="U58" s="94"/>
      <c r="V58" s="67"/>
    </row>
    <row r="59" spans="1:22" ht="29.25" customHeight="1" x14ac:dyDescent="0.25">
      <c r="A59" s="74" t="s">
        <v>49</v>
      </c>
      <c r="B59" s="75" t="s">
        <v>50</v>
      </c>
      <c r="C59" s="76" t="s">
        <v>13</v>
      </c>
      <c r="D59" s="29">
        <v>171430.8</v>
      </c>
      <c r="E59" s="29">
        <v>216383.99</v>
      </c>
      <c r="F59" s="29">
        <v>216383.99</v>
      </c>
      <c r="G59" s="29">
        <f>G15+G37</f>
        <v>1007643.4761348567</v>
      </c>
      <c r="H59" s="29">
        <f>((G59-D59)/D59)*100</f>
        <v>487.78438654830791</v>
      </c>
      <c r="I59" s="4">
        <f>I37+I15</f>
        <v>184450.86240000001</v>
      </c>
      <c r="J59" s="4">
        <f t="shared" ref="J59:P59" si="28">J37+J15</f>
        <v>193221.352144</v>
      </c>
      <c r="K59" s="27">
        <f t="shared" si="2"/>
        <v>4.7549193481027556</v>
      </c>
      <c r="L59" s="4">
        <f t="shared" si="28"/>
        <v>201364.71107264003</v>
      </c>
      <c r="M59" s="27">
        <f t="shared" si="3"/>
        <v>4.2145233113631821</v>
      </c>
      <c r="N59" s="4">
        <f t="shared" si="28"/>
        <v>209825.74073699844</v>
      </c>
      <c r="O59" s="27">
        <f t="shared" si="4"/>
        <v>4.2018433216464608</v>
      </c>
      <c r="P59" s="4">
        <f t="shared" si="28"/>
        <v>218780.80978121833</v>
      </c>
      <c r="Q59" s="109">
        <f t="shared" si="5"/>
        <v>4.2678600884552198</v>
      </c>
      <c r="R59" s="109">
        <f>I59/12*3</f>
        <v>46112.715600000003</v>
      </c>
      <c r="S59" s="109">
        <v>73856.47</v>
      </c>
      <c r="T59" s="99">
        <f>S59/I59*100</f>
        <v>40.04127117597038</v>
      </c>
      <c r="U59" s="94"/>
      <c r="V59" s="67">
        <f t="shared" si="6"/>
        <v>5.4214980997562404E-2</v>
      </c>
    </row>
    <row r="60" spans="1:22" ht="17.25" customHeight="1" x14ac:dyDescent="0.25">
      <c r="A60" s="74" t="s">
        <v>51</v>
      </c>
      <c r="B60" s="75" t="s">
        <v>52</v>
      </c>
      <c r="C60" s="76" t="s">
        <v>13</v>
      </c>
      <c r="D60" s="92"/>
      <c r="E60" s="29">
        <v>-62142.37</v>
      </c>
      <c r="F60" s="29">
        <v>-62142.37</v>
      </c>
      <c r="G60" s="29">
        <f>I60+J60+L60+N60+P60</f>
        <v>0</v>
      </c>
      <c r="H60" s="29"/>
      <c r="I60" s="4">
        <v>0</v>
      </c>
      <c r="J60" s="4">
        <v>0</v>
      </c>
      <c r="K60" s="27"/>
      <c r="L60" s="4">
        <v>0</v>
      </c>
      <c r="M60" s="27"/>
      <c r="N60" s="4">
        <v>0</v>
      </c>
      <c r="O60" s="27"/>
      <c r="P60" s="4">
        <v>0</v>
      </c>
      <c r="Q60" s="109"/>
      <c r="R60" s="109"/>
      <c r="S60" s="109"/>
      <c r="T60" s="27"/>
      <c r="U60" s="94"/>
      <c r="V60" s="67"/>
    </row>
    <row r="61" spans="1:22" ht="25.5" customHeight="1" x14ac:dyDescent="0.25">
      <c r="A61" s="74" t="s">
        <v>53</v>
      </c>
      <c r="B61" s="75" t="s">
        <v>54</v>
      </c>
      <c r="C61" s="76" t="s">
        <v>13</v>
      </c>
      <c r="D61" s="92"/>
      <c r="E61" s="92"/>
      <c r="F61" s="92"/>
      <c r="G61" s="29"/>
      <c r="H61" s="29"/>
      <c r="I61" s="4">
        <v>567230</v>
      </c>
      <c r="J61" s="4">
        <v>567230</v>
      </c>
      <c r="K61" s="27">
        <f t="shared" si="2"/>
        <v>0</v>
      </c>
      <c r="L61" s="4">
        <v>567230</v>
      </c>
      <c r="M61" s="27">
        <f t="shared" si="3"/>
        <v>0</v>
      </c>
      <c r="N61" s="4">
        <v>567230</v>
      </c>
      <c r="O61" s="27">
        <f t="shared" si="4"/>
        <v>0</v>
      </c>
      <c r="P61" s="4">
        <v>567230</v>
      </c>
      <c r="Q61" s="109">
        <f t="shared" si="5"/>
        <v>0</v>
      </c>
      <c r="R61" s="109"/>
      <c r="S61" s="109"/>
      <c r="T61" s="27"/>
      <c r="U61" s="94"/>
      <c r="V61" s="67" t="e">
        <f t="shared" si="6"/>
        <v>#DIV/0!</v>
      </c>
    </row>
    <row r="62" spans="1:22" ht="18.75" customHeight="1" x14ac:dyDescent="0.25">
      <c r="A62" s="74" t="s">
        <v>55</v>
      </c>
      <c r="B62" s="75" t="s">
        <v>56</v>
      </c>
      <c r="C62" s="76" t="s">
        <v>13</v>
      </c>
      <c r="D62" s="29">
        <v>171430.8</v>
      </c>
      <c r="E62" s="29">
        <v>154241.60000000001</v>
      </c>
      <c r="F62" s="29">
        <v>154241.60000000001</v>
      </c>
      <c r="G62" s="29">
        <f>G59+G60</f>
        <v>1007643.4761348567</v>
      </c>
      <c r="H62" s="29">
        <f t="shared" ref="H62:H67" si="29">((G62-D62)/D62)*100</f>
        <v>487.78438654830791</v>
      </c>
      <c r="I62" s="4">
        <f>I59+I60</f>
        <v>184450.86240000001</v>
      </c>
      <c r="J62" s="4">
        <f t="shared" ref="J62:P62" si="30">J59+J60</f>
        <v>193221.352144</v>
      </c>
      <c r="K62" s="27">
        <f t="shared" si="2"/>
        <v>4.7549193481027556</v>
      </c>
      <c r="L62" s="4">
        <f t="shared" si="30"/>
        <v>201364.71107264003</v>
      </c>
      <c r="M62" s="27">
        <f t="shared" si="3"/>
        <v>4.2145233113631821</v>
      </c>
      <c r="N62" s="4">
        <f t="shared" si="30"/>
        <v>209825.74073699844</v>
      </c>
      <c r="O62" s="27">
        <f t="shared" si="4"/>
        <v>4.2018433216464608</v>
      </c>
      <c r="P62" s="4">
        <f t="shared" si="30"/>
        <v>218780.80978121833</v>
      </c>
      <c r="Q62" s="109">
        <f t="shared" si="5"/>
        <v>4.2678600884552198</v>
      </c>
      <c r="R62" s="109">
        <f t="shared" ref="R62:R64" si="31">I62/12*3</f>
        <v>46112.715600000003</v>
      </c>
      <c r="S62" s="109">
        <v>73856.47</v>
      </c>
      <c r="T62" s="99">
        <f t="shared" ref="T62:T63" si="32">S62/I62*100</f>
        <v>40.04127117597038</v>
      </c>
      <c r="U62" s="94"/>
      <c r="V62" s="67">
        <f t="shared" si="6"/>
        <v>5.4214980997562404E-2</v>
      </c>
    </row>
    <row r="63" spans="1:22" ht="25.5" customHeight="1" x14ac:dyDescent="0.25">
      <c r="A63" s="74" t="s">
        <v>57</v>
      </c>
      <c r="B63" s="75" t="s">
        <v>58</v>
      </c>
      <c r="C63" s="76" t="s">
        <v>59</v>
      </c>
      <c r="D63" s="31">
        <v>383</v>
      </c>
      <c r="E63" s="31">
        <v>344.6</v>
      </c>
      <c r="F63" s="31">
        <v>344.6</v>
      </c>
      <c r="G63" s="29">
        <f>I63+J63+L63+N63+P63</f>
        <v>1915</v>
      </c>
      <c r="H63" s="29">
        <f t="shared" si="29"/>
        <v>400</v>
      </c>
      <c r="I63" s="72">
        <v>383</v>
      </c>
      <c r="J63" s="72">
        <v>383</v>
      </c>
      <c r="K63" s="27">
        <f t="shared" si="2"/>
        <v>0</v>
      </c>
      <c r="L63" s="72">
        <v>383</v>
      </c>
      <c r="M63" s="27">
        <f t="shared" si="3"/>
        <v>0</v>
      </c>
      <c r="N63" s="72">
        <v>383</v>
      </c>
      <c r="O63" s="27">
        <f t="shared" si="4"/>
        <v>0</v>
      </c>
      <c r="P63" s="72">
        <v>383</v>
      </c>
      <c r="Q63" s="109">
        <f t="shared" si="5"/>
        <v>0</v>
      </c>
      <c r="R63" s="109">
        <f t="shared" si="31"/>
        <v>95.75</v>
      </c>
      <c r="S63" s="109">
        <v>150</v>
      </c>
      <c r="T63" s="99">
        <f t="shared" si="32"/>
        <v>39.164490861618802</v>
      </c>
      <c r="U63" s="94"/>
      <c r="V63" s="67">
        <f t="shared" si="6"/>
        <v>26.109660574412537</v>
      </c>
    </row>
    <row r="64" spans="1:22" ht="14.25" customHeight="1" x14ac:dyDescent="0.25">
      <c r="A64" s="128" t="s">
        <v>60</v>
      </c>
      <c r="B64" s="123" t="s">
        <v>61</v>
      </c>
      <c r="C64" s="76" t="s">
        <v>62</v>
      </c>
      <c r="D64" s="31">
        <v>6</v>
      </c>
      <c r="E64" s="31">
        <v>6.65</v>
      </c>
      <c r="F64" s="31">
        <v>6.65</v>
      </c>
      <c r="G64" s="92"/>
      <c r="H64" s="29">
        <f t="shared" si="29"/>
        <v>-100</v>
      </c>
      <c r="I64" s="72">
        <v>6</v>
      </c>
      <c r="J64" s="72">
        <v>6</v>
      </c>
      <c r="K64" s="27">
        <f t="shared" si="2"/>
        <v>0</v>
      </c>
      <c r="L64" s="72">
        <v>5.9</v>
      </c>
      <c r="M64" s="27">
        <f t="shared" si="3"/>
        <v>-1.6666666666666607</v>
      </c>
      <c r="N64" s="72">
        <v>5.8</v>
      </c>
      <c r="O64" s="27">
        <f t="shared" si="4"/>
        <v>-1.6949152542372972</v>
      </c>
      <c r="P64" s="72">
        <v>5.7</v>
      </c>
      <c r="Q64" s="109">
        <f t="shared" si="5"/>
        <v>-1.7241379310344769</v>
      </c>
      <c r="R64" s="109">
        <f t="shared" si="31"/>
        <v>1.5</v>
      </c>
      <c r="S64" s="109">
        <v>6</v>
      </c>
      <c r="T64" s="27"/>
      <c r="U64" s="94"/>
      <c r="V64" s="67">
        <f t="shared" si="6"/>
        <v>0</v>
      </c>
    </row>
    <row r="65" spans="1:22" x14ac:dyDescent="0.25">
      <c r="A65" s="128"/>
      <c r="B65" s="124"/>
      <c r="C65" s="76" t="s">
        <v>59</v>
      </c>
      <c r="D65" s="31">
        <v>22.98</v>
      </c>
      <c r="E65" s="44">
        <v>22.9</v>
      </c>
      <c r="F65" s="44">
        <v>22.9</v>
      </c>
      <c r="G65" s="92"/>
      <c r="H65" s="29">
        <f t="shared" si="29"/>
        <v>-100</v>
      </c>
      <c r="I65" s="72">
        <v>23.28</v>
      </c>
      <c r="J65" s="72">
        <v>23.28</v>
      </c>
      <c r="K65" s="27">
        <f t="shared" si="2"/>
        <v>0</v>
      </c>
      <c r="L65" s="72">
        <v>22.89</v>
      </c>
      <c r="M65" s="27">
        <f t="shared" si="3"/>
        <v>-1.6752577319587654</v>
      </c>
      <c r="N65" s="72">
        <v>22.5</v>
      </c>
      <c r="O65" s="27">
        <f t="shared" si="4"/>
        <v>-1.7038007863695963</v>
      </c>
      <c r="P65" s="72">
        <v>22.12</v>
      </c>
      <c r="Q65" s="109">
        <f t="shared" si="5"/>
        <v>-1.6888888888888847</v>
      </c>
      <c r="R65" s="109">
        <v>5.82</v>
      </c>
      <c r="S65" s="109">
        <v>9.61</v>
      </c>
      <c r="T65" s="27"/>
      <c r="U65" s="94"/>
      <c r="V65" s="67">
        <f t="shared" si="6"/>
        <v>0</v>
      </c>
    </row>
    <row r="66" spans="1:22" x14ac:dyDescent="0.25">
      <c r="A66" s="74"/>
      <c r="B66" s="125"/>
      <c r="C66" s="76" t="s">
        <v>13</v>
      </c>
      <c r="D66" s="29">
        <v>10285.799999999999</v>
      </c>
      <c r="E66" s="29">
        <v>10254.1</v>
      </c>
      <c r="F66" s="29">
        <v>10254.1</v>
      </c>
      <c r="G66" s="29">
        <f>I66+J66+L66+N66+P66</f>
        <v>99096.599999999991</v>
      </c>
      <c r="H66" s="29">
        <f t="shared" si="29"/>
        <v>863.4311380738493</v>
      </c>
      <c r="I66" s="27">
        <v>18661.900000000001</v>
      </c>
      <c r="J66" s="27">
        <v>19362.8</v>
      </c>
      <c r="K66" s="27">
        <f t="shared" si="2"/>
        <v>3.7557804939475496</v>
      </c>
      <c r="L66" s="27">
        <v>19920.7</v>
      </c>
      <c r="M66" s="27">
        <f t="shared" si="3"/>
        <v>2.8812981593571254</v>
      </c>
      <c r="N66" s="27">
        <v>20364.400000000001</v>
      </c>
      <c r="O66" s="27">
        <f t="shared" si="4"/>
        <v>2.2273313688776031</v>
      </c>
      <c r="P66" s="27">
        <v>20786.8</v>
      </c>
      <c r="Q66" s="109">
        <f t="shared" si="5"/>
        <v>2.0742079314882726</v>
      </c>
      <c r="R66" s="109"/>
      <c r="S66" s="109"/>
      <c r="T66" s="27"/>
      <c r="U66" s="94"/>
      <c r="V66" s="67" t="e">
        <f t="shared" si="6"/>
        <v>#DIV/0!</v>
      </c>
    </row>
    <row r="67" spans="1:22" ht="40.5" customHeight="1" x14ac:dyDescent="0.25">
      <c r="A67" s="74" t="s">
        <v>63</v>
      </c>
      <c r="B67" s="75" t="s">
        <v>86</v>
      </c>
      <c r="C67" s="76" t="s">
        <v>65</v>
      </c>
      <c r="D67" s="31">
        <v>447.6</v>
      </c>
      <c r="E67" s="31">
        <v>447.6</v>
      </c>
      <c r="F67" s="31">
        <v>447.6</v>
      </c>
      <c r="G67" s="68">
        <f>G62/G63</f>
        <v>526.18458283804523</v>
      </c>
      <c r="H67" s="29">
        <f t="shared" si="29"/>
        <v>17.556877309661573</v>
      </c>
      <c r="I67" s="113">
        <f>I62/I63</f>
        <v>481.59494099216715</v>
      </c>
      <c r="J67" s="113">
        <f t="shared" ref="J67:P67" si="33">J62/J63</f>
        <v>504.49439202088774</v>
      </c>
      <c r="K67" s="27">
        <f t="shared" si="2"/>
        <v>4.754919348102753</v>
      </c>
      <c r="L67" s="113">
        <f t="shared" si="33"/>
        <v>525.75642577712802</v>
      </c>
      <c r="M67" s="27">
        <f t="shared" si="3"/>
        <v>4.2145233113631821</v>
      </c>
      <c r="N67" s="113">
        <f>N62/N63</f>
        <v>547.8478870417714</v>
      </c>
      <c r="O67" s="27">
        <f t="shared" si="4"/>
        <v>4.2018433216464608</v>
      </c>
      <c r="P67" s="113">
        <f t="shared" si="33"/>
        <v>571.22926835827241</v>
      </c>
      <c r="Q67" s="109">
        <f t="shared" si="5"/>
        <v>4.2678600884552216</v>
      </c>
      <c r="R67" s="109">
        <f>R62/R63</f>
        <v>481.59494099216715</v>
      </c>
      <c r="S67" s="109">
        <f>S62/S63</f>
        <v>492.37646666666666</v>
      </c>
      <c r="T67" s="99">
        <f>S67/I67*100</f>
        <v>102.23871240264437</v>
      </c>
      <c r="U67" s="94"/>
      <c r="V67" s="67">
        <f t="shared" si="6"/>
        <v>20.764337722066401</v>
      </c>
    </row>
    <row r="69" spans="1:22" x14ac:dyDescent="0.25">
      <c r="B69" s="23"/>
    </row>
    <row r="72" spans="1:22" x14ac:dyDescent="0.25">
      <c r="B72" s="105" t="s">
        <v>138</v>
      </c>
    </row>
    <row r="82" spans="7:8" x14ac:dyDescent="0.25">
      <c r="G82" s="5"/>
      <c r="H82" s="5"/>
    </row>
  </sheetData>
  <mergeCells count="45">
    <mergeCell ref="Q13:Q14"/>
    <mergeCell ref="U9:U14"/>
    <mergeCell ref="V9:V14"/>
    <mergeCell ref="R9:R14"/>
    <mergeCell ref="L13:L14"/>
    <mergeCell ref="M13:M14"/>
    <mergeCell ref="N13:N14"/>
    <mergeCell ref="O13:O14"/>
    <mergeCell ref="P13:P14"/>
    <mergeCell ref="P9:P10"/>
    <mergeCell ref="Q9:Q10"/>
    <mergeCell ref="P11:P12"/>
    <mergeCell ref="Q11:Q12"/>
    <mergeCell ref="K13:K14"/>
    <mergeCell ref="I9:I14"/>
    <mergeCell ref="S9:S14"/>
    <mergeCell ref="J9:J10"/>
    <mergeCell ref="J11:J12"/>
    <mergeCell ref="J13:J14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B64:B66"/>
    <mergeCell ref="F9:F14"/>
    <mergeCell ref="A44:A45"/>
    <mergeCell ref="T9:T14"/>
    <mergeCell ref="A64:A65"/>
    <mergeCell ref="E9:E14"/>
    <mergeCell ref="D9:D14"/>
    <mergeCell ref="A16:A17"/>
    <mergeCell ref="A24:A25"/>
    <mergeCell ref="A29:A30"/>
    <mergeCell ref="A39:A40"/>
    <mergeCell ref="A37:A38"/>
    <mergeCell ref="A32:A33"/>
    <mergeCell ref="A9:A14"/>
    <mergeCell ref="B9:B14"/>
    <mergeCell ref="C9:C1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1"/>
  <sheetViews>
    <sheetView zoomScaleNormal="100" workbookViewId="0">
      <selection activeCell="B69" sqref="B69"/>
    </sheetView>
  </sheetViews>
  <sheetFormatPr defaultRowHeight="15" x14ac:dyDescent="0.25"/>
  <cols>
    <col min="1" max="1" width="5" style="1" customWidth="1"/>
    <col min="2" max="2" width="22.5703125" style="1" customWidth="1"/>
    <col min="3" max="3" width="9.7109375" style="1" customWidth="1"/>
    <col min="4" max="4" width="13.85546875" style="1" hidden="1" customWidth="1"/>
    <col min="5" max="5" width="12" style="1" hidden="1" customWidth="1"/>
    <col min="6" max="6" width="12.5703125" style="1" hidden="1" customWidth="1"/>
    <col min="7" max="7" width="0.140625" style="1" hidden="1" customWidth="1"/>
    <col min="8" max="8" width="11.42578125" style="1" hidden="1" customWidth="1"/>
    <col min="9" max="9" width="0.28515625" style="1" hidden="1" customWidth="1"/>
    <col min="10" max="10" width="16.140625" style="1" customWidth="1"/>
    <col min="11" max="12" width="11.85546875" style="1" hidden="1" customWidth="1"/>
    <col min="13" max="14" width="11" style="1" hidden="1" customWidth="1"/>
    <col min="15" max="16" width="10.28515625" style="1" hidden="1" customWidth="1"/>
    <col min="17" max="17" width="10.42578125" style="1" hidden="1" customWidth="1"/>
    <col min="18" max="18" width="9.140625" style="1" hidden="1" customWidth="1"/>
    <col min="19" max="19" width="12.85546875" style="1" hidden="1" customWidth="1"/>
    <col min="20" max="20" width="14.42578125" style="1" customWidth="1"/>
    <col min="21" max="21" width="12.42578125" style="1" customWidth="1"/>
    <col min="22" max="22" width="12.140625" style="1" customWidth="1"/>
    <col min="23" max="16384" width="9.140625" style="1"/>
  </cols>
  <sheetData>
    <row r="1" spans="1:22" x14ac:dyDescent="0.25">
      <c r="A1" s="104" t="s">
        <v>125</v>
      </c>
    </row>
    <row r="2" spans="1:22" x14ac:dyDescent="0.25">
      <c r="A2" s="104"/>
    </row>
    <row r="3" spans="1:22" x14ac:dyDescent="0.25">
      <c r="A3" s="104"/>
    </row>
    <row r="4" spans="1:22" x14ac:dyDescent="0.25">
      <c r="J4" s="2" t="s">
        <v>137</v>
      </c>
    </row>
    <row r="5" spans="1:22" x14ac:dyDescent="0.25">
      <c r="B5" s="2" t="s">
        <v>135</v>
      </c>
    </row>
    <row r="6" spans="1:22" x14ac:dyDescent="0.25">
      <c r="B6" s="2" t="s">
        <v>136</v>
      </c>
    </row>
    <row r="9" spans="1:22" ht="30.75" customHeight="1" x14ac:dyDescent="0.25">
      <c r="A9" s="130" t="s">
        <v>0</v>
      </c>
      <c r="B9" s="130" t="s">
        <v>1</v>
      </c>
      <c r="C9" s="130" t="s">
        <v>2</v>
      </c>
      <c r="D9" s="117" t="s">
        <v>121</v>
      </c>
      <c r="E9" s="114" t="s">
        <v>4</v>
      </c>
      <c r="F9" s="130" t="s">
        <v>87</v>
      </c>
      <c r="G9" s="76"/>
      <c r="H9" s="89"/>
      <c r="I9" s="90"/>
      <c r="J9" s="117" t="s">
        <v>129</v>
      </c>
      <c r="K9" s="90"/>
      <c r="L9" s="90"/>
      <c r="M9" s="90"/>
      <c r="N9" s="90"/>
      <c r="O9" s="90"/>
      <c r="P9" s="90"/>
      <c r="Q9" s="90"/>
      <c r="R9" s="90"/>
      <c r="S9" s="131" t="s">
        <v>120</v>
      </c>
      <c r="T9" s="117" t="s">
        <v>118</v>
      </c>
      <c r="U9" s="130" t="s">
        <v>122</v>
      </c>
      <c r="V9" s="130" t="s">
        <v>127</v>
      </c>
    </row>
    <row r="10" spans="1:22" ht="47.25" customHeight="1" x14ac:dyDescent="0.25">
      <c r="A10" s="130"/>
      <c r="B10" s="130"/>
      <c r="C10" s="130"/>
      <c r="D10" s="118"/>
      <c r="E10" s="114"/>
      <c r="F10" s="130"/>
      <c r="G10" s="76" t="s">
        <v>112</v>
      </c>
      <c r="H10" s="76" t="s">
        <v>6</v>
      </c>
      <c r="I10" s="76" t="s">
        <v>107</v>
      </c>
      <c r="J10" s="118"/>
      <c r="K10" s="76" t="s">
        <v>7</v>
      </c>
      <c r="L10" s="76" t="s">
        <v>108</v>
      </c>
      <c r="M10" s="76" t="s">
        <v>8</v>
      </c>
      <c r="N10" s="76" t="s">
        <v>109</v>
      </c>
      <c r="O10" s="76" t="s">
        <v>9</v>
      </c>
      <c r="P10" s="76" t="s">
        <v>110</v>
      </c>
      <c r="Q10" s="76" t="s">
        <v>10</v>
      </c>
      <c r="R10" s="76" t="s">
        <v>112</v>
      </c>
      <c r="S10" s="132"/>
      <c r="T10" s="133"/>
      <c r="U10" s="130"/>
      <c r="V10" s="130"/>
    </row>
    <row r="11" spans="1:22" ht="51.75" customHeight="1" x14ac:dyDescent="0.25">
      <c r="A11" s="130" t="s">
        <v>11</v>
      </c>
      <c r="B11" s="75" t="s">
        <v>88</v>
      </c>
      <c r="C11" s="76" t="s">
        <v>71</v>
      </c>
      <c r="D11" s="27">
        <v>175406.8</v>
      </c>
      <c r="E11" s="4">
        <v>151040.6</v>
      </c>
      <c r="F11" s="4">
        <v>151040.6</v>
      </c>
      <c r="G11" s="27" t="e">
        <f>((#REF!-#REF!)/#REF!)*100</f>
        <v>#REF!</v>
      </c>
      <c r="H11" s="27">
        <f>H13+H21+H28</f>
        <v>1077239.8999999999</v>
      </c>
      <c r="I11" s="27">
        <f>((H11-D11)/D11)*100</f>
        <v>514.13804938006956</v>
      </c>
      <c r="J11" s="27">
        <f>J13+J21+J28</f>
        <v>209127.49999999997</v>
      </c>
      <c r="K11" s="27">
        <f t="shared" ref="K11:Q11" si="0">K13+K21+K28</f>
        <v>212553.7</v>
      </c>
      <c r="L11" s="27">
        <f>((K11-J11)/J11)*100</f>
        <v>1.6383306834347664</v>
      </c>
      <c r="M11" s="27">
        <f t="shared" si="0"/>
        <v>215304.19999999998</v>
      </c>
      <c r="N11" s="27">
        <f>((M11-K11)/K11)*100</f>
        <v>1.2940259332112169</v>
      </c>
      <c r="O11" s="27">
        <f t="shared" si="0"/>
        <v>218138.7</v>
      </c>
      <c r="P11" s="27">
        <f>((O11-M11)/M11)*100</f>
        <v>1.3165093853255205</v>
      </c>
      <c r="Q11" s="27">
        <f t="shared" si="0"/>
        <v>222115.7</v>
      </c>
      <c r="R11" s="27">
        <f>((Q11-O11)/O11)*100</f>
        <v>1.8231519670741596</v>
      </c>
      <c r="S11" s="27">
        <f>J11/12*3</f>
        <v>52281.874999999993</v>
      </c>
      <c r="T11" s="99">
        <v>91121.54</v>
      </c>
      <c r="U11" s="99">
        <f>T11/J11*100</f>
        <v>43.572241814204254</v>
      </c>
      <c r="V11" s="100"/>
    </row>
    <row r="12" spans="1:22" x14ac:dyDescent="0.25">
      <c r="A12" s="130"/>
      <c r="B12" s="75" t="s">
        <v>75</v>
      </c>
      <c r="C12" s="76"/>
      <c r="D12" s="92"/>
      <c r="E12" s="92"/>
      <c r="F12" s="92"/>
      <c r="G12" s="27"/>
      <c r="H12" s="92"/>
      <c r="I12" s="27"/>
      <c r="J12" s="47"/>
      <c r="K12" s="47"/>
      <c r="L12" s="27"/>
      <c r="M12" s="47"/>
      <c r="N12" s="27"/>
      <c r="O12" s="95"/>
      <c r="P12" s="27"/>
      <c r="Q12" s="95"/>
      <c r="R12" s="27"/>
      <c r="S12" s="27"/>
      <c r="T12" s="108"/>
      <c r="U12" s="99"/>
      <c r="V12" s="100"/>
    </row>
    <row r="13" spans="1:22" ht="24.75" customHeight="1" x14ac:dyDescent="0.25">
      <c r="A13" s="130">
        <v>1</v>
      </c>
      <c r="B13" s="75" t="s">
        <v>14</v>
      </c>
      <c r="C13" s="76" t="s">
        <v>71</v>
      </c>
      <c r="D13" s="27">
        <v>156699.9</v>
      </c>
      <c r="E13" s="4">
        <v>132572.70000000001</v>
      </c>
      <c r="F13" s="4">
        <v>132572.70000000001</v>
      </c>
      <c r="G13" s="27" t="e">
        <f>((#REF!-#REF!)/#REF!)*100</f>
        <v>#REF!</v>
      </c>
      <c r="H13" s="27">
        <f>H15+H16+H17+H18+H19+H20</f>
        <v>991279.5</v>
      </c>
      <c r="I13" s="27">
        <f>((H13-D13)/D13)*100</f>
        <v>532.59740433784577</v>
      </c>
      <c r="J13" s="27">
        <f>J15+J16+J17+J18+J19+J20</f>
        <v>193385.09999999998</v>
      </c>
      <c r="K13" s="27">
        <f t="shared" ref="K13:Q13" si="1">K15+K16+K17+K18+K19+K20</f>
        <v>196204.7</v>
      </c>
      <c r="L13" s="27">
        <f t="shared" ref="L13:L63" si="2">((K13-J13)/J13)*100</f>
        <v>1.4580233947703496</v>
      </c>
      <c r="M13" s="27">
        <f t="shared" si="1"/>
        <v>198177.8</v>
      </c>
      <c r="N13" s="27">
        <f t="shared" ref="N13:N61" si="3">((M13-K13)/K13)*100</f>
        <v>1.0056334022579361</v>
      </c>
      <c r="O13" s="27">
        <f t="shared" si="1"/>
        <v>200196</v>
      </c>
      <c r="P13" s="27">
        <f t="shared" ref="P13:P61" si="4">((O13-M13)/M13)*100</f>
        <v>1.0183784460217096</v>
      </c>
      <c r="Q13" s="27">
        <f t="shared" si="1"/>
        <v>203315.90000000002</v>
      </c>
      <c r="R13" s="27">
        <f t="shared" ref="R13:R61" si="5">((Q13-O13)/O13)*100</f>
        <v>1.5584227457092166</v>
      </c>
      <c r="S13" s="27">
        <f>J13/12*3</f>
        <v>48346.274999999994</v>
      </c>
      <c r="T13" s="99">
        <v>80366.02</v>
      </c>
      <c r="U13" s="99">
        <f>T13/J13*100</f>
        <v>41.557503654624902</v>
      </c>
      <c r="V13" s="100"/>
    </row>
    <row r="14" spans="1:22" x14ac:dyDescent="0.25">
      <c r="A14" s="130"/>
      <c r="B14" s="75" t="s">
        <v>15</v>
      </c>
      <c r="C14" s="76"/>
      <c r="D14" s="92"/>
      <c r="E14" s="92"/>
      <c r="F14" s="92"/>
      <c r="G14" s="27"/>
      <c r="H14" s="92"/>
      <c r="I14" s="27"/>
      <c r="J14" s="47"/>
      <c r="K14" s="47"/>
      <c r="L14" s="27"/>
      <c r="M14" s="47"/>
      <c r="N14" s="27"/>
      <c r="O14" s="95"/>
      <c r="P14" s="27"/>
      <c r="Q14" s="95"/>
      <c r="R14" s="27"/>
      <c r="S14" s="29"/>
      <c r="T14" s="95"/>
      <c r="U14" s="94"/>
      <c r="V14" s="100"/>
    </row>
    <row r="15" spans="1:22" ht="17.25" customHeight="1" x14ac:dyDescent="0.25">
      <c r="A15" s="31">
        <v>1.1000000000000001</v>
      </c>
      <c r="B15" s="30" t="s">
        <v>17</v>
      </c>
      <c r="C15" s="31" t="s">
        <v>13</v>
      </c>
      <c r="D15" s="29">
        <v>5161.7</v>
      </c>
      <c r="E15" s="9">
        <v>2763.6</v>
      </c>
      <c r="F15" s="9">
        <v>2763.6</v>
      </c>
      <c r="G15" s="27" t="e">
        <f>((#REF!-#REF!)/#REF!)*100</f>
        <v>#REF!</v>
      </c>
      <c r="H15" s="29">
        <f>J15+K15+M15+O15+Q15</f>
        <v>25808.5</v>
      </c>
      <c r="I15" s="27">
        <f>((H15-D15)/D15)*100</f>
        <v>400</v>
      </c>
      <c r="J15" s="29">
        <v>5161.7</v>
      </c>
      <c r="K15" s="29">
        <v>5161.7</v>
      </c>
      <c r="L15" s="27">
        <f t="shared" si="2"/>
        <v>0</v>
      </c>
      <c r="M15" s="29">
        <v>5161.7</v>
      </c>
      <c r="N15" s="27">
        <f>((M15-K15)/K15)*100</f>
        <v>0</v>
      </c>
      <c r="O15" s="29">
        <v>5161.7</v>
      </c>
      <c r="P15" s="27">
        <f t="shared" si="4"/>
        <v>0</v>
      </c>
      <c r="Q15" s="29">
        <v>5161.7</v>
      </c>
      <c r="R15" s="27">
        <f t="shared" si="5"/>
        <v>0</v>
      </c>
      <c r="S15" s="29">
        <f t="shared" ref="S15:S21" si="6">J15/12*3</f>
        <v>1290.425</v>
      </c>
      <c r="T15" s="94">
        <v>1290.42</v>
      </c>
      <c r="U15" s="94">
        <f t="shared" ref="U15:U20" si="7">T15/J15*100</f>
        <v>24.999903132688843</v>
      </c>
      <c r="V15" s="100"/>
    </row>
    <row r="16" spans="1:22" ht="29.25" customHeight="1" x14ac:dyDescent="0.25">
      <c r="A16" s="31">
        <v>1.2</v>
      </c>
      <c r="B16" s="30" t="s">
        <v>89</v>
      </c>
      <c r="C16" s="31" t="s">
        <v>13</v>
      </c>
      <c r="D16" s="29">
        <v>16873.599999999999</v>
      </c>
      <c r="E16" s="9">
        <v>73651.199999999997</v>
      </c>
      <c r="F16" s="9">
        <v>73651.199999999997</v>
      </c>
      <c r="G16" s="27" t="e">
        <f>((#REF!-#REF!)/#REF!)*100</f>
        <v>#REF!</v>
      </c>
      <c r="H16" s="29">
        <f t="shared" ref="H16:H20" si="8">J16+K16+M16+O16+Q16</f>
        <v>492056.9</v>
      </c>
      <c r="I16" s="27">
        <f>((H16-D16)/D16)*100</f>
        <v>2816.1346719135222</v>
      </c>
      <c r="J16" s="29">
        <v>94371.3</v>
      </c>
      <c r="K16" s="29">
        <v>96248.3</v>
      </c>
      <c r="L16" s="27">
        <f t="shared" si="2"/>
        <v>1.9889521496471914</v>
      </c>
      <c r="M16" s="29">
        <v>98168.9</v>
      </c>
      <c r="N16" s="27">
        <f t="shared" si="3"/>
        <v>1.9954638159842732</v>
      </c>
      <c r="O16" s="29">
        <v>100132.2</v>
      </c>
      <c r="P16" s="27">
        <f t="shared" si="4"/>
        <v>1.9999205451013538</v>
      </c>
      <c r="Q16" s="29">
        <v>103136.2</v>
      </c>
      <c r="R16" s="27">
        <f t="shared" si="5"/>
        <v>3.0000339551113431</v>
      </c>
      <c r="S16" s="29">
        <f t="shared" si="6"/>
        <v>23592.825000000001</v>
      </c>
      <c r="T16" s="94">
        <v>27462</v>
      </c>
      <c r="U16" s="94">
        <f t="shared" si="7"/>
        <v>29.099948819185496</v>
      </c>
      <c r="V16" s="100"/>
    </row>
    <row r="17" spans="1:22" x14ac:dyDescent="0.25">
      <c r="A17" s="31">
        <v>1.3</v>
      </c>
      <c r="B17" s="30" t="s">
        <v>19</v>
      </c>
      <c r="C17" s="31" t="s">
        <v>13</v>
      </c>
      <c r="D17" s="92"/>
      <c r="E17" s="8" t="s">
        <v>16</v>
      </c>
      <c r="F17" s="8" t="s">
        <v>16</v>
      </c>
      <c r="G17" s="27" t="e">
        <f>((#REF!-#REF!)/#REF!)*100</f>
        <v>#REF!</v>
      </c>
      <c r="H17" s="29">
        <f t="shared" si="8"/>
        <v>28013.7</v>
      </c>
      <c r="I17" s="27"/>
      <c r="J17" s="29">
        <v>4651</v>
      </c>
      <c r="K17" s="29">
        <v>5654.1</v>
      </c>
      <c r="L17" s="27">
        <f t="shared" si="2"/>
        <v>21.567404859170079</v>
      </c>
      <c r="M17" s="29">
        <v>5767.1</v>
      </c>
      <c r="N17" s="27">
        <f t="shared" si="3"/>
        <v>1.9985497249783342</v>
      </c>
      <c r="O17" s="29">
        <v>5882.5</v>
      </c>
      <c r="P17" s="27">
        <f t="shared" si="4"/>
        <v>2.0010057047736232</v>
      </c>
      <c r="Q17" s="29">
        <v>6059</v>
      </c>
      <c r="R17" s="27">
        <f t="shared" si="5"/>
        <v>3.0004249893752655</v>
      </c>
      <c r="S17" s="29">
        <f t="shared" si="6"/>
        <v>1162.75</v>
      </c>
      <c r="T17" s="94">
        <v>488.4</v>
      </c>
      <c r="U17" s="94">
        <f t="shared" si="7"/>
        <v>10.500967533863685</v>
      </c>
      <c r="V17" s="100"/>
    </row>
    <row r="18" spans="1:22" ht="19.5" customHeight="1" x14ac:dyDescent="0.25">
      <c r="A18" s="31">
        <v>1.4</v>
      </c>
      <c r="B18" s="30" t="s">
        <v>20</v>
      </c>
      <c r="C18" s="31" t="s">
        <v>13</v>
      </c>
      <c r="D18" s="29">
        <v>20437.2</v>
      </c>
      <c r="E18" s="9">
        <v>15432.4</v>
      </c>
      <c r="F18" s="9">
        <v>15432.4</v>
      </c>
      <c r="G18" s="27" t="e">
        <f>((#REF!-#REF!)/#REF!)*100</f>
        <v>#REF!</v>
      </c>
      <c r="H18" s="29">
        <f t="shared" si="8"/>
        <v>244741.5</v>
      </c>
      <c r="I18" s="27">
        <f>((H18-D18)/D18)*100</f>
        <v>1097.5295050202569</v>
      </c>
      <c r="J18" s="29">
        <v>48948.3</v>
      </c>
      <c r="K18" s="29">
        <v>48948.3</v>
      </c>
      <c r="L18" s="27">
        <f t="shared" si="2"/>
        <v>0</v>
      </c>
      <c r="M18" s="29">
        <v>48948.3</v>
      </c>
      <c r="N18" s="27">
        <f t="shared" si="3"/>
        <v>0</v>
      </c>
      <c r="O18" s="29">
        <v>48948.3</v>
      </c>
      <c r="P18" s="27">
        <f t="shared" si="4"/>
        <v>0</v>
      </c>
      <c r="Q18" s="29">
        <v>48948.3</v>
      </c>
      <c r="R18" s="27">
        <f t="shared" si="5"/>
        <v>0</v>
      </c>
      <c r="S18" s="29">
        <f t="shared" si="6"/>
        <v>12237.075000000001</v>
      </c>
      <c r="T18" s="94">
        <v>20448.2</v>
      </c>
      <c r="U18" s="94">
        <f t="shared" si="7"/>
        <v>41.775097398683918</v>
      </c>
      <c r="V18" s="100"/>
    </row>
    <row r="19" spans="1:22" x14ac:dyDescent="0.25">
      <c r="A19" s="31">
        <v>1.5</v>
      </c>
      <c r="B19" s="30" t="s">
        <v>21</v>
      </c>
      <c r="C19" s="31" t="s">
        <v>13</v>
      </c>
      <c r="D19" s="29">
        <v>46567.8</v>
      </c>
      <c r="E19" s="9">
        <v>40725.599999999999</v>
      </c>
      <c r="F19" s="9">
        <v>40725.599999999999</v>
      </c>
      <c r="G19" s="27" t="e">
        <f>((#REF!-#REF!)/#REF!)*100</f>
        <v>#REF!</v>
      </c>
      <c r="H19" s="29">
        <f t="shared" si="8"/>
        <v>148610</v>
      </c>
      <c r="I19" s="27">
        <f>((H19-D19)/D19)*100</f>
        <v>219.12609141939279</v>
      </c>
      <c r="J19" s="29">
        <v>29722</v>
      </c>
      <c r="K19" s="29">
        <v>29722</v>
      </c>
      <c r="L19" s="27">
        <f t="shared" si="2"/>
        <v>0</v>
      </c>
      <c r="M19" s="29">
        <v>29722</v>
      </c>
      <c r="N19" s="27">
        <f t="shared" si="3"/>
        <v>0</v>
      </c>
      <c r="O19" s="29">
        <v>29722</v>
      </c>
      <c r="P19" s="27">
        <f t="shared" si="4"/>
        <v>0</v>
      </c>
      <c r="Q19" s="29">
        <v>29722</v>
      </c>
      <c r="R19" s="27">
        <f t="shared" si="5"/>
        <v>0</v>
      </c>
      <c r="S19" s="29">
        <f t="shared" si="6"/>
        <v>7430.5</v>
      </c>
      <c r="T19" s="94">
        <v>8173</v>
      </c>
      <c r="U19" s="94">
        <f t="shared" si="7"/>
        <v>27.498149518874911</v>
      </c>
      <c r="V19" s="100"/>
    </row>
    <row r="20" spans="1:22" ht="41.25" customHeight="1" x14ac:dyDescent="0.25">
      <c r="A20" s="31">
        <v>1.6</v>
      </c>
      <c r="B20" s="30" t="s">
        <v>74</v>
      </c>
      <c r="C20" s="31" t="s">
        <v>13</v>
      </c>
      <c r="D20" s="42">
        <v>67659.600000000006</v>
      </c>
      <c r="E20" s="72">
        <v>26517.5</v>
      </c>
      <c r="F20" s="72">
        <v>26517.5</v>
      </c>
      <c r="G20" s="27" t="e">
        <f>((#REF!-#REF!)/#REF!)*100</f>
        <v>#REF!</v>
      </c>
      <c r="H20" s="29">
        <f t="shared" si="8"/>
        <v>52048.899999999994</v>
      </c>
      <c r="I20" s="27">
        <f>((H20-D20)/D20)*100</f>
        <v>-23.072409532424089</v>
      </c>
      <c r="J20" s="47">
        <v>10530.8</v>
      </c>
      <c r="K20" s="47">
        <v>10470.299999999999</v>
      </c>
      <c r="L20" s="27">
        <f t="shared" si="2"/>
        <v>-0.57450526075891684</v>
      </c>
      <c r="M20" s="47">
        <v>10409.799999999999</v>
      </c>
      <c r="N20" s="27">
        <f t="shared" si="3"/>
        <v>-0.57782489517969882</v>
      </c>
      <c r="O20" s="47">
        <v>10349.299999999999</v>
      </c>
      <c r="P20" s="27">
        <f t="shared" si="4"/>
        <v>-0.58118311591000793</v>
      </c>
      <c r="Q20" s="47">
        <v>10288.700000000001</v>
      </c>
      <c r="R20" s="27">
        <f t="shared" si="5"/>
        <v>-0.58554684857911699</v>
      </c>
      <c r="S20" s="29">
        <f t="shared" si="6"/>
        <v>2632.7</v>
      </c>
      <c r="T20" s="94">
        <v>22504</v>
      </c>
      <c r="U20" s="94">
        <f t="shared" si="7"/>
        <v>213.69696509287044</v>
      </c>
      <c r="V20" s="100"/>
    </row>
    <row r="21" spans="1:22" ht="33.75" customHeight="1" x14ac:dyDescent="0.25">
      <c r="A21" s="130">
        <v>2</v>
      </c>
      <c r="B21" s="75" t="s">
        <v>90</v>
      </c>
      <c r="C21" s="76" t="s">
        <v>13</v>
      </c>
      <c r="D21" s="27">
        <v>18136.5</v>
      </c>
      <c r="E21" s="4">
        <v>17612.3</v>
      </c>
      <c r="F21" s="4">
        <v>17612.3</v>
      </c>
      <c r="G21" s="27" t="e">
        <f>((#REF!-#REF!)/#REF!)*100</f>
        <v>#REF!</v>
      </c>
      <c r="H21" s="27">
        <v>81957.899999999994</v>
      </c>
      <c r="I21" s="27">
        <f>((H21-D21)/D21)*100</f>
        <v>351.89479778347533</v>
      </c>
      <c r="J21" s="27">
        <v>14941.9</v>
      </c>
      <c r="K21" s="27">
        <v>15548.5</v>
      </c>
      <c r="L21" s="27">
        <f t="shared" si="2"/>
        <v>4.0597246668763702</v>
      </c>
      <c r="M21" s="27">
        <v>16325.9</v>
      </c>
      <c r="N21" s="27">
        <f t="shared" si="3"/>
        <v>4.9998392127857967</v>
      </c>
      <c r="O21" s="27">
        <v>17142.2</v>
      </c>
      <c r="P21" s="27">
        <f t="shared" si="4"/>
        <v>5.0000306261829435</v>
      </c>
      <c r="Q21" s="27">
        <v>17999.3</v>
      </c>
      <c r="R21" s="27">
        <f t="shared" si="5"/>
        <v>4.9999416644304615</v>
      </c>
      <c r="S21" s="27">
        <f t="shared" si="6"/>
        <v>3735.4749999999999</v>
      </c>
      <c r="T21" s="99">
        <v>10555.4</v>
      </c>
      <c r="U21" s="99">
        <f>T21/J21*100</f>
        <v>70.642957053654484</v>
      </c>
      <c r="V21" s="100"/>
    </row>
    <row r="22" spans="1:22" ht="13.5" customHeight="1" x14ac:dyDescent="0.25">
      <c r="A22" s="130"/>
      <c r="B22" s="75" t="s">
        <v>75</v>
      </c>
      <c r="C22" s="76"/>
      <c r="D22" s="92"/>
      <c r="E22" s="92"/>
      <c r="F22" s="92"/>
      <c r="G22" s="27"/>
      <c r="H22" s="92"/>
      <c r="I22" s="27"/>
      <c r="J22" s="47"/>
      <c r="K22" s="47"/>
      <c r="L22" s="27"/>
      <c r="M22" s="47"/>
      <c r="N22" s="27"/>
      <c r="O22" s="95"/>
      <c r="P22" s="27"/>
      <c r="Q22" s="95"/>
      <c r="R22" s="27"/>
      <c r="S22" s="29"/>
      <c r="T22" s="95"/>
      <c r="U22" s="94"/>
      <c r="V22" s="100"/>
    </row>
    <row r="23" spans="1:22" ht="39" customHeight="1" x14ac:dyDescent="0.25">
      <c r="A23" s="31">
        <v>2.1</v>
      </c>
      <c r="B23" s="30" t="s">
        <v>23</v>
      </c>
      <c r="C23" s="31" t="s">
        <v>13</v>
      </c>
      <c r="D23" s="29">
        <v>15461.7</v>
      </c>
      <c r="E23" s="9">
        <v>16011.2</v>
      </c>
      <c r="F23" s="9">
        <v>16011.2</v>
      </c>
      <c r="G23" s="27" t="e">
        <f>((#REF!-#REF!)/#REF!)*100</f>
        <v>#REF!</v>
      </c>
      <c r="H23" s="29">
        <v>74385.5</v>
      </c>
      <c r="I23" s="27">
        <f>((H23-D23)/D23)*100</f>
        <v>381.09522238822382</v>
      </c>
      <c r="J23" s="29">
        <f>D23*1.48</f>
        <v>22883.316000000003</v>
      </c>
      <c r="K23" s="29">
        <f>J23*1.06</f>
        <v>24256.314960000003</v>
      </c>
      <c r="L23" s="27">
        <f t="shared" si="2"/>
        <v>6.0000000000000027</v>
      </c>
      <c r="M23" s="29">
        <f>K23*1.06</f>
        <v>25711.693857600007</v>
      </c>
      <c r="N23" s="27">
        <f t="shared" si="3"/>
        <v>6.0000000000000124</v>
      </c>
      <c r="O23" s="29">
        <f>M23*1.06</f>
        <v>27254.395489056009</v>
      </c>
      <c r="P23" s="27">
        <f t="shared" si="4"/>
        <v>6.0000000000000071</v>
      </c>
      <c r="Q23" s="29">
        <f t="shared" ref="Q23" si="9">O23*1.06</f>
        <v>28889.659218399371</v>
      </c>
      <c r="R23" s="27">
        <f t="shared" si="5"/>
        <v>6.0000000000000044</v>
      </c>
      <c r="S23" s="29">
        <f t="shared" ref="S23:S24" si="10">J23/12*3</f>
        <v>5720.8290000000006</v>
      </c>
      <c r="T23" s="94">
        <v>9599.5</v>
      </c>
      <c r="U23" s="94">
        <f t="shared" ref="U23:U24" si="11">T23/J23*100</f>
        <v>41.949776859262876</v>
      </c>
      <c r="V23" s="100"/>
    </row>
    <row r="24" spans="1:22" ht="17.25" customHeight="1" x14ac:dyDescent="0.25">
      <c r="A24" s="31">
        <v>2.2000000000000002</v>
      </c>
      <c r="B24" s="30" t="s">
        <v>24</v>
      </c>
      <c r="C24" s="31" t="s">
        <v>13</v>
      </c>
      <c r="D24" s="29">
        <v>2674.8</v>
      </c>
      <c r="E24" s="9">
        <v>1601.12</v>
      </c>
      <c r="F24" s="9">
        <v>1601.12</v>
      </c>
      <c r="G24" s="27" t="e">
        <f>((#REF!-#REF!)/#REF!)*100</f>
        <v>#REF!</v>
      </c>
      <c r="H24" s="29">
        <v>7572.4</v>
      </c>
      <c r="I24" s="27">
        <f>((H24-D24)/D24)*100</f>
        <v>183.10154030207863</v>
      </c>
      <c r="J24" s="29">
        <f>(J23/100)*11</f>
        <v>2517.1647600000001</v>
      </c>
      <c r="K24" s="29">
        <f t="shared" ref="K24:Q24" si="12">(K23/100)*11</f>
        <v>2668.1946456000005</v>
      </c>
      <c r="L24" s="27">
        <f t="shared" si="2"/>
        <v>6.000000000000016</v>
      </c>
      <c r="M24" s="29">
        <f t="shared" si="12"/>
        <v>2828.2863243360007</v>
      </c>
      <c r="N24" s="27">
        <f t="shared" si="3"/>
        <v>6.0000000000000053</v>
      </c>
      <c r="O24" s="29">
        <f t="shared" si="12"/>
        <v>2997.9835037961611</v>
      </c>
      <c r="P24" s="27">
        <f t="shared" si="4"/>
        <v>6.0000000000000142</v>
      </c>
      <c r="Q24" s="29">
        <f t="shared" si="12"/>
        <v>3177.862514023931</v>
      </c>
      <c r="R24" s="27">
        <f t="shared" si="5"/>
        <v>6.0000000000000071</v>
      </c>
      <c r="S24" s="29">
        <f t="shared" si="10"/>
        <v>629.29119000000003</v>
      </c>
      <c r="T24" s="94">
        <v>955.9</v>
      </c>
      <c r="U24" s="94">
        <f t="shared" si="11"/>
        <v>37.97526547288863</v>
      </c>
      <c r="V24" s="100"/>
    </row>
    <row r="25" spans="1:22" ht="17.25" customHeight="1" x14ac:dyDescent="0.25">
      <c r="A25" s="76">
        <v>3</v>
      </c>
      <c r="B25" s="75" t="s">
        <v>25</v>
      </c>
      <c r="C25" s="76" t="s">
        <v>13</v>
      </c>
      <c r="D25" s="92"/>
      <c r="E25" s="92"/>
      <c r="F25" s="76" t="s">
        <v>16</v>
      </c>
      <c r="G25" s="27"/>
      <c r="H25" s="76" t="s">
        <v>16</v>
      </c>
      <c r="I25" s="27"/>
      <c r="J25" s="47"/>
      <c r="K25" s="76" t="s">
        <v>16</v>
      </c>
      <c r="L25" s="27"/>
      <c r="M25" s="76" t="s">
        <v>16</v>
      </c>
      <c r="N25" s="27"/>
      <c r="O25" s="76" t="s">
        <v>16</v>
      </c>
      <c r="P25" s="27"/>
      <c r="Q25" s="76" t="s">
        <v>16</v>
      </c>
      <c r="R25" s="27"/>
      <c r="S25" s="29"/>
      <c r="T25" s="95"/>
      <c r="U25" s="94"/>
      <c r="V25" s="100"/>
    </row>
    <row r="26" spans="1:22" ht="18" customHeight="1" x14ac:dyDescent="0.25">
      <c r="A26" s="76">
        <v>4</v>
      </c>
      <c r="B26" s="75" t="s">
        <v>91</v>
      </c>
      <c r="C26" s="76" t="s">
        <v>13</v>
      </c>
      <c r="D26" s="92"/>
      <c r="E26" s="92"/>
      <c r="F26" s="92"/>
      <c r="G26" s="27"/>
      <c r="H26" s="92"/>
      <c r="I26" s="27"/>
      <c r="J26" s="47"/>
      <c r="K26" s="47"/>
      <c r="L26" s="27"/>
      <c r="M26" s="47"/>
      <c r="N26" s="27"/>
      <c r="O26" s="95"/>
      <c r="P26" s="27"/>
      <c r="Q26" s="95"/>
      <c r="R26" s="27"/>
      <c r="S26" s="29"/>
      <c r="T26" s="95"/>
      <c r="U26" s="94"/>
      <c r="V26" s="100"/>
    </row>
    <row r="27" spans="1:22" ht="54.75" customHeight="1" x14ac:dyDescent="0.25">
      <c r="A27" s="31">
        <v>4.0999999999999996</v>
      </c>
      <c r="B27" s="30" t="s">
        <v>28</v>
      </c>
      <c r="C27" s="31" t="s">
        <v>13</v>
      </c>
      <c r="D27" s="92"/>
      <c r="E27" s="92"/>
      <c r="F27" s="92"/>
      <c r="G27" s="27"/>
      <c r="H27" s="92"/>
      <c r="I27" s="27"/>
      <c r="J27" s="47"/>
      <c r="K27" s="47"/>
      <c r="L27" s="27"/>
      <c r="M27" s="47"/>
      <c r="N27" s="27"/>
      <c r="O27" s="95"/>
      <c r="P27" s="27"/>
      <c r="Q27" s="95"/>
      <c r="R27" s="27"/>
      <c r="S27" s="29"/>
      <c r="T27" s="95"/>
      <c r="U27" s="94"/>
      <c r="V27" s="100"/>
    </row>
    <row r="28" spans="1:22" ht="26.25" customHeight="1" x14ac:dyDescent="0.25">
      <c r="A28" s="130">
        <v>5</v>
      </c>
      <c r="B28" s="75" t="s">
        <v>92</v>
      </c>
      <c r="C28" s="76" t="s">
        <v>13</v>
      </c>
      <c r="D28" s="76">
        <v>570.4</v>
      </c>
      <c r="E28" s="72">
        <v>855.6</v>
      </c>
      <c r="F28" s="72">
        <v>855.6</v>
      </c>
      <c r="G28" s="27" t="e">
        <f>((#REF!-#REF!)/#REF!)*100</f>
        <v>#REF!</v>
      </c>
      <c r="H28" s="29">
        <f>H31</f>
        <v>4002.5</v>
      </c>
      <c r="I28" s="27">
        <f>((H28-D28)/D28)*100</f>
        <v>601.70056100981765</v>
      </c>
      <c r="J28" s="27">
        <f t="shared" ref="J28:Q28" si="13">J31</f>
        <v>800.5</v>
      </c>
      <c r="K28" s="27">
        <f t="shared" si="13"/>
        <v>800.5</v>
      </c>
      <c r="L28" s="27">
        <f t="shared" si="2"/>
        <v>0</v>
      </c>
      <c r="M28" s="27">
        <f t="shared" si="13"/>
        <v>800.5</v>
      </c>
      <c r="N28" s="27">
        <f t="shared" si="3"/>
        <v>0</v>
      </c>
      <c r="O28" s="27">
        <f t="shared" si="13"/>
        <v>800.5</v>
      </c>
      <c r="P28" s="27">
        <f t="shared" si="4"/>
        <v>0</v>
      </c>
      <c r="Q28" s="27">
        <f t="shared" si="13"/>
        <v>800.5</v>
      </c>
      <c r="R28" s="27">
        <f t="shared" si="5"/>
        <v>0</v>
      </c>
      <c r="S28" s="27">
        <f>J28/12*3</f>
        <v>200.125</v>
      </c>
      <c r="T28" s="99">
        <v>200.12</v>
      </c>
      <c r="U28" s="99">
        <f>T28/J28*100</f>
        <v>24.999375390381012</v>
      </c>
      <c r="V28" s="100"/>
    </row>
    <row r="29" spans="1:22" ht="16.5" customHeight="1" x14ac:dyDescent="0.25">
      <c r="A29" s="130"/>
      <c r="B29" s="75" t="s">
        <v>93</v>
      </c>
      <c r="C29" s="76"/>
      <c r="D29" s="92"/>
      <c r="E29" s="92"/>
      <c r="F29" s="92"/>
      <c r="G29" s="27"/>
      <c r="H29" s="92"/>
      <c r="I29" s="27"/>
      <c r="J29" s="47"/>
      <c r="K29" s="47"/>
      <c r="L29" s="27"/>
      <c r="M29" s="47"/>
      <c r="N29" s="27"/>
      <c r="O29" s="95"/>
      <c r="P29" s="27"/>
      <c r="Q29" s="95"/>
      <c r="R29" s="27"/>
      <c r="S29" s="29"/>
      <c r="T29" s="95"/>
      <c r="U29" s="94"/>
      <c r="V29" s="100"/>
    </row>
    <row r="30" spans="1:22" ht="17.25" customHeight="1" x14ac:dyDescent="0.25">
      <c r="A30" s="130"/>
      <c r="B30" s="33" t="s">
        <v>94</v>
      </c>
      <c r="C30" s="34" t="s">
        <v>13</v>
      </c>
      <c r="D30" s="92"/>
      <c r="E30" s="92"/>
      <c r="F30" s="92"/>
      <c r="G30" s="27"/>
      <c r="H30" s="35"/>
      <c r="I30" s="27"/>
      <c r="J30" s="35"/>
      <c r="K30" s="35"/>
      <c r="L30" s="27"/>
      <c r="M30" s="35"/>
      <c r="N30" s="27"/>
      <c r="O30" s="35"/>
      <c r="P30" s="27"/>
      <c r="Q30" s="35"/>
      <c r="R30" s="27"/>
      <c r="S30" s="29"/>
      <c r="T30" s="95"/>
      <c r="U30" s="94"/>
      <c r="V30" s="100"/>
    </row>
    <row r="31" spans="1:22" ht="24.75" customHeight="1" x14ac:dyDescent="0.25">
      <c r="A31" s="130"/>
      <c r="B31" s="33" t="s">
        <v>95</v>
      </c>
      <c r="C31" s="34" t="s">
        <v>13</v>
      </c>
      <c r="D31" s="92"/>
      <c r="E31" s="92"/>
      <c r="F31" s="92"/>
      <c r="G31" s="27" t="e">
        <f>((#REF!-#REF!)/#REF!)*100</f>
        <v>#REF!</v>
      </c>
      <c r="H31" s="35">
        <v>4002.5</v>
      </c>
      <c r="I31" s="27"/>
      <c r="J31" s="34">
        <v>800.5</v>
      </c>
      <c r="K31" s="34">
        <v>800.5</v>
      </c>
      <c r="L31" s="27">
        <f t="shared" si="2"/>
        <v>0</v>
      </c>
      <c r="M31" s="34">
        <v>800.5</v>
      </c>
      <c r="N31" s="27">
        <f t="shared" si="3"/>
        <v>0</v>
      </c>
      <c r="O31" s="34">
        <v>800.5</v>
      </c>
      <c r="P31" s="27">
        <f t="shared" si="4"/>
        <v>0</v>
      </c>
      <c r="Q31" s="34">
        <v>800.5</v>
      </c>
      <c r="R31" s="27">
        <f t="shared" si="5"/>
        <v>0</v>
      </c>
      <c r="S31" s="29">
        <f>J31/12*3</f>
        <v>200.125</v>
      </c>
      <c r="T31" s="94">
        <v>200.12</v>
      </c>
      <c r="U31" s="94">
        <f>T31/J31*100</f>
        <v>24.999375390381012</v>
      </c>
      <c r="V31" s="100"/>
    </row>
    <row r="32" spans="1:22" ht="17.25" customHeight="1" x14ac:dyDescent="0.25">
      <c r="A32" s="130"/>
      <c r="B32" s="33" t="s">
        <v>96</v>
      </c>
      <c r="C32" s="34" t="s">
        <v>13</v>
      </c>
      <c r="D32" s="92"/>
      <c r="E32" s="92"/>
      <c r="F32" s="92"/>
      <c r="G32" s="27"/>
      <c r="H32" s="92"/>
      <c r="I32" s="27"/>
      <c r="J32" s="47"/>
      <c r="K32" s="47"/>
      <c r="L32" s="27"/>
      <c r="M32" s="47"/>
      <c r="N32" s="27"/>
      <c r="O32" s="95"/>
      <c r="P32" s="27"/>
      <c r="Q32" s="95"/>
      <c r="R32" s="27"/>
      <c r="S32" s="29"/>
      <c r="T32" s="95"/>
      <c r="U32" s="94"/>
      <c r="V32" s="100"/>
    </row>
    <row r="33" spans="1:22" ht="26.25" customHeight="1" x14ac:dyDescent="0.25">
      <c r="A33" s="130"/>
      <c r="B33" s="33" t="s">
        <v>97</v>
      </c>
      <c r="C33" s="34" t="s">
        <v>13</v>
      </c>
      <c r="D33" s="92"/>
      <c r="E33" s="19">
        <v>855.6</v>
      </c>
      <c r="F33" s="19">
        <v>855.6</v>
      </c>
      <c r="G33" s="27"/>
      <c r="H33" s="92"/>
      <c r="I33" s="27"/>
      <c r="J33" s="47"/>
      <c r="K33" s="47"/>
      <c r="L33" s="27"/>
      <c r="M33" s="47"/>
      <c r="N33" s="27"/>
      <c r="O33" s="95"/>
      <c r="P33" s="27"/>
      <c r="Q33" s="95"/>
      <c r="R33" s="27"/>
      <c r="S33" s="29"/>
      <c r="T33" s="95"/>
      <c r="U33" s="94"/>
      <c r="V33" s="100"/>
    </row>
    <row r="34" spans="1:22" ht="21" customHeight="1" x14ac:dyDescent="0.25">
      <c r="A34" s="130"/>
      <c r="B34" s="33" t="s">
        <v>98</v>
      </c>
      <c r="C34" s="34" t="s">
        <v>13</v>
      </c>
      <c r="D34" s="92"/>
      <c r="E34" s="92"/>
      <c r="F34" s="92"/>
      <c r="G34" s="27"/>
      <c r="H34" s="92"/>
      <c r="I34" s="27"/>
      <c r="J34" s="47"/>
      <c r="K34" s="47"/>
      <c r="L34" s="27"/>
      <c r="M34" s="47"/>
      <c r="N34" s="27"/>
      <c r="O34" s="95"/>
      <c r="P34" s="27"/>
      <c r="Q34" s="95"/>
      <c r="R34" s="27"/>
      <c r="S34" s="29"/>
      <c r="T34" s="95"/>
      <c r="U34" s="94"/>
      <c r="V34" s="100"/>
    </row>
    <row r="35" spans="1:22" ht="27" customHeight="1" x14ac:dyDescent="0.25">
      <c r="A35" s="130"/>
      <c r="B35" s="33" t="s">
        <v>99</v>
      </c>
      <c r="C35" s="34" t="s">
        <v>13</v>
      </c>
      <c r="D35" s="43">
        <v>226.4</v>
      </c>
      <c r="E35" s="92"/>
      <c r="F35" s="92"/>
      <c r="G35" s="27"/>
      <c r="H35" s="92"/>
      <c r="I35" s="27">
        <f>((H35-D35)/D35)*100</f>
        <v>-100</v>
      </c>
      <c r="J35" s="47"/>
      <c r="K35" s="47"/>
      <c r="L35" s="27"/>
      <c r="M35" s="47"/>
      <c r="N35" s="27"/>
      <c r="O35" s="95"/>
      <c r="P35" s="27"/>
      <c r="Q35" s="95"/>
      <c r="R35" s="27"/>
      <c r="S35" s="29"/>
      <c r="T35" s="95"/>
      <c r="U35" s="94"/>
      <c r="V35" s="100"/>
    </row>
    <row r="36" spans="1:22" ht="38.25" customHeight="1" x14ac:dyDescent="0.25">
      <c r="A36" s="130"/>
      <c r="B36" s="33" t="s">
        <v>100</v>
      </c>
      <c r="C36" s="34" t="s">
        <v>13</v>
      </c>
      <c r="D36" s="92"/>
      <c r="E36" s="92"/>
      <c r="F36" s="92"/>
      <c r="G36" s="27"/>
      <c r="H36" s="92"/>
      <c r="I36" s="27"/>
      <c r="J36" s="47"/>
      <c r="K36" s="47"/>
      <c r="L36" s="27"/>
      <c r="M36" s="47"/>
      <c r="N36" s="27"/>
      <c r="O36" s="95"/>
      <c r="P36" s="27"/>
      <c r="Q36" s="95"/>
      <c r="R36" s="27"/>
      <c r="S36" s="29"/>
      <c r="T36" s="95"/>
      <c r="U36" s="94"/>
      <c r="V36" s="100"/>
    </row>
    <row r="37" spans="1:22" ht="43.5" customHeight="1" x14ac:dyDescent="0.25">
      <c r="A37" s="130"/>
      <c r="B37" s="33" t="s">
        <v>101</v>
      </c>
      <c r="C37" s="34" t="s">
        <v>13</v>
      </c>
      <c r="D37" s="43">
        <v>189.4</v>
      </c>
      <c r="E37" s="92"/>
      <c r="F37" s="92"/>
      <c r="G37" s="27"/>
      <c r="H37" s="92"/>
      <c r="I37" s="27">
        <f>((H37-D37)/D37)*100</f>
        <v>-100</v>
      </c>
      <c r="J37" s="47"/>
      <c r="K37" s="47"/>
      <c r="L37" s="27"/>
      <c r="M37" s="47"/>
      <c r="N37" s="27"/>
      <c r="O37" s="95"/>
      <c r="P37" s="27"/>
      <c r="Q37" s="95"/>
      <c r="R37" s="27"/>
      <c r="S37" s="29"/>
      <c r="T37" s="95"/>
      <c r="U37" s="94"/>
      <c r="V37" s="100"/>
    </row>
    <row r="38" spans="1:22" ht="16.5" customHeight="1" x14ac:dyDescent="0.25">
      <c r="A38" s="130"/>
      <c r="B38" s="33" t="s">
        <v>102</v>
      </c>
      <c r="C38" s="34" t="s">
        <v>13</v>
      </c>
      <c r="D38" s="43">
        <v>154.6</v>
      </c>
      <c r="E38" s="92"/>
      <c r="F38" s="92"/>
      <c r="G38" s="27"/>
      <c r="H38" s="92"/>
      <c r="I38" s="27">
        <f>((H38-D38)/D38)*100</f>
        <v>-100</v>
      </c>
      <c r="J38" s="47"/>
      <c r="K38" s="47"/>
      <c r="L38" s="27"/>
      <c r="M38" s="47"/>
      <c r="N38" s="27"/>
      <c r="O38" s="95"/>
      <c r="P38" s="27"/>
      <c r="Q38" s="95"/>
      <c r="R38" s="27"/>
      <c r="S38" s="29"/>
      <c r="T38" s="95"/>
      <c r="U38" s="94"/>
      <c r="V38" s="100"/>
    </row>
    <row r="39" spans="1:22" ht="27" customHeight="1" x14ac:dyDescent="0.25">
      <c r="A39" s="76" t="s">
        <v>34</v>
      </c>
      <c r="B39" s="75" t="s">
        <v>103</v>
      </c>
      <c r="C39" s="76" t="s">
        <v>13</v>
      </c>
      <c r="D39" s="27">
        <v>13593.2</v>
      </c>
      <c r="E39" s="4">
        <v>20113.3</v>
      </c>
      <c r="F39" s="4">
        <v>20113.3</v>
      </c>
      <c r="G39" s="27" t="e">
        <f>((#REF!-#REF!)/#REF!)*100</f>
        <v>#REF!</v>
      </c>
      <c r="H39" s="27">
        <f>H40</f>
        <v>39348.5</v>
      </c>
      <c r="I39" s="27">
        <f>((H39-D39)/D39)*100</f>
        <v>189.47194185327956</v>
      </c>
      <c r="J39" s="27">
        <f t="shared" ref="J39:Q39" si="14">J40</f>
        <v>7869.7</v>
      </c>
      <c r="K39" s="27">
        <f t="shared" si="14"/>
        <v>7869.7</v>
      </c>
      <c r="L39" s="27">
        <f t="shared" si="2"/>
        <v>0</v>
      </c>
      <c r="M39" s="27">
        <f t="shared" si="14"/>
        <v>7869.7</v>
      </c>
      <c r="N39" s="27">
        <f t="shared" si="3"/>
        <v>0</v>
      </c>
      <c r="O39" s="27">
        <f t="shared" si="14"/>
        <v>7869.7</v>
      </c>
      <c r="P39" s="27">
        <f t="shared" si="4"/>
        <v>0</v>
      </c>
      <c r="Q39" s="27">
        <f t="shared" si="14"/>
        <v>7869.7</v>
      </c>
      <c r="R39" s="27">
        <f t="shared" si="5"/>
        <v>0</v>
      </c>
      <c r="S39" s="27">
        <f t="shared" ref="S39:S40" si="15">J39/12*3</f>
        <v>1967.4249999999997</v>
      </c>
      <c r="T39" s="99">
        <v>2123.62</v>
      </c>
      <c r="U39" s="99">
        <f t="shared" ref="U39:U40" si="16">T39/J39*100</f>
        <v>26.984764349339873</v>
      </c>
      <c r="V39" s="100"/>
    </row>
    <row r="40" spans="1:22" ht="40.5" customHeight="1" x14ac:dyDescent="0.25">
      <c r="A40" s="130">
        <v>6</v>
      </c>
      <c r="B40" s="75" t="s">
        <v>36</v>
      </c>
      <c r="C40" s="76" t="s">
        <v>13</v>
      </c>
      <c r="D40" s="27">
        <v>13593.2</v>
      </c>
      <c r="E40" s="4">
        <v>20113.3</v>
      </c>
      <c r="F40" s="4">
        <v>20113.3</v>
      </c>
      <c r="G40" s="27" t="e">
        <f>((#REF!-#REF!)/#REF!)*100</f>
        <v>#REF!</v>
      </c>
      <c r="H40" s="27">
        <f>H44+H45</f>
        <v>39348.5</v>
      </c>
      <c r="I40" s="27">
        <f>((H40-D40)/D40)*100</f>
        <v>189.47194185327956</v>
      </c>
      <c r="J40" s="27">
        <f t="shared" ref="J40:Q40" si="17">J44+J45</f>
        <v>7869.7</v>
      </c>
      <c r="K40" s="27">
        <f t="shared" si="17"/>
        <v>7869.7</v>
      </c>
      <c r="L40" s="27">
        <f t="shared" si="2"/>
        <v>0</v>
      </c>
      <c r="M40" s="27">
        <f t="shared" si="17"/>
        <v>7869.7</v>
      </c>
      <c r="N40" s="27">
        <f t="shared" si="3"/>
        <v>0</v>
      </c>
      <c r="O40" s="27">
        <f t="shared" si="17"/>
        <v>7869.7</v>
      </c>
      <c r="P40" s="27">
        <f t="shared" si="4"/>
        <v>0</v>
      </c>
      <c r="Q40" s="27">
        <f t="shared" si="17"/>
        <v>7869.7</v>
      </c>
      <c r="R40" s="27">
        <f t="shared" si="5"/>
        <v>0</v>
      </c>
      <c r="S40" s="27">
        <f t="shared" si="15"/>
        <v>1967.4249999999997</v>
      </c>
      <c r="T40" s="99">
        <v>2123.62</v>
      </c>
      <c r="U40" s="99">
        <f t="shared" si="16"/>
        <v>26.984764349339873</v>
      </c>
      <c r="V40" s="100"/>
    </row>
    <row r="41" spans="1:22" ht="15.75" customHeight="1" x14ac:dyDescent="0.25">
      <c r="A41" s="130"/>
      <c r="B41" s="75" t="s">
        <v>93</v>
      </c>
      <c r="C41" s="76"/>
      <c r="D41" s="92"/>
      <c r="E41" s="92"/>
      <c r="F41" s="92"/>
      <c r="G41" s="27"/>
      <c r="H41" s="92"/>
      <c r="I41" s="27"/>
      <c r="J41" s="47"/>
      <c r="K41" s="47"/>
      <c r="L41" s="27"/>
      <c r="M41" s="47"/>
      <c r="N41" s="27"/>
      <c r="O41" s="95"/>
      <c r="P41" s="27"/>
      <c r="Q41" s="95"/>
      <c r="R41" s="27"/>
      <c r="S41" s="29"/>
      <c r="T41" s="95"/>
      <c r="U41" s="94"/>
      <c r="V41" s="100"/>
    </row>
    <row r="42" spans="1:22" ht="39" customHeight="1" x14ac:dyDescent="0.25">
      <c r="A42" s="77">
        <v>6.1</v>
      </c>
      <c r="B42" s="30" t="s">
        <v>37</v>
      </c>
      <c r="C42" s="31" t="s">
        <v>13</v>
      </c>
      <c r="D42" s="92"/>
      <c r="E42" s="29"/>
      <c r="F42" s="29"/>
      <c r="G42" s="27"/>
      <c r="H42" s="31" t="s">
        <v>16</v>
      </c>
      <c r="I42" s="27"/>
      <c r="J42" s="31" t="s">
        <v>16</v>
      </c>
      <c r="K42" s="31" t="s">
        <v>16</v>
      </c>
      <c r="L42" s="27"/>
      <c r="M42" s="31" t="s">
        <v>16</v>
      </c>
      <c r="N42" s="27"/>
      <c r="O42" s="31" t="s">
        <v>16</v>
      </c>
      <c r="P42" s="27"/>
      <c r="Q42" s="31" t="s">
        <v>16</v>
      </c>
      <c r="R42" s="27"/>
      <c r="S42" s="29"/>
      <c r="T42" s="95"/>
      <c r="U42" s="94"/>
      <c r="V42" s="100"/>
    </row>
    <row r="43" spans="1:22" ht="16.5" customHeight="1" x14ac:dyDescent="0.25">
      <c r="A43" s="77">
        <v>6.2</v>
      </c>
      <c r="B43" s="30" t="s">
        <v>24</v>
      </c>
      <c r="C43" s="31" t="s">
        <v>13</v>
      </c>
      <c r="D43" s="92"/>
      <c r="E43" s="31"/>
      <c r="F43" s="31"/>
      <c r="G43" s="27"/>
      <c r="H43" s="31" t="s">
        <v>16</v>
      </c>
      <c r="I43" s="27"/>
      <c r="J43" s="31" t="s">
        <v>16</v>
      </c>
      <c r="K43" s="31" t="s">
        <v>16</v>
      </c>
      <c r="L43" s="27"/>
      <c r="M43" s="31" t="s">
        <v>16</v>
      </c>
      <c r="N43" s="27"/>
      <c r="O43" s="31" t="s">
        <v>16</v>
      </c>
      <c r="P43" s="27"/>
      <c r="Q43" s="31" t="s">
        <v>16</v>
      </c>
      <c r="R43" s="27"/>
      <c r="S43" s="29"/>
      <c r="T43" s="95"/>
      <c r="U43" s="94"/>
      <c r="V43" s="100"/>
    </row>
    <row r="44" spans="1:22" ht="17.25" customHeight="1" x14ac:dyDescent="0.25">
      <c r="A44" s="77">
        <v>6.3</v>
      </c>
      <c r="B44" s="30" t="s">
        <v>33</v>
      </c>
      <c r="C44" s="31" t="s">
        <v>13</v>
      </c>
      <c r="D44" s="92"/>
      <c r="E44" s="47" t="e">
        <f>#REF!</f>
        <v>#REF!</v>
      </c>
      <c r="F44" s="47" t="e">
        <f>#REF!</f>
        <v>#REF!</v>
      </c>
      <c r="G44" s="27" t="e">
        <f>((#REF!-#REF!)/#REF!)*100</f>
        <v>#REF!</v>
      </c>
      <c r="H44" s="47">
        <f>J44+K44+M44+O44+Q44</f>
        <v>29784.5</v>
      </c>
      <c r="I44" s="27"/>
      <c r="J44" s="47">
        <v>5956.9</v>
      </c>
      <c r="K44" s="47">
        <v>5956.9</v>
      </c>
      <c r="L44" s="27">
        <f t="shared" si="2"/>
        <v>0</v>
      </c>
      <c r="M44" s="47">
        <v>5956.9</v>
      </c>
      <c r="N44" s="27">
        <f t="shared" si="3"/>
        <v>0</v>
      </c>
      <c r="O44" s="47">
        <v>5956.9</v>
      </c>
      <c r="P44" s="27">
        <f t="shared" si="4"/>
        <v>0</v>
      </c>
      <c r="Q44" s="47">
        <v>5956.9</v>
      </c>
      <c r="R44" s="27">
        <f t="shared" si="5"/>
        <v>0</v>
      </c>
      <c r="S44" s="29">
        <f t="shared" ref="S44:S45" si="18">J44/12*3</f>
        <v>1489.2249999999999</v>
      </c>
      <c r="T44" s="94">
        <v>1489.22</v>
      </c>
      <c r="U44" s="94">
        <f t="shared" ref="U44:U45" si="19">T44/J44*100</f>
        <v>24.999916063724424</v>
      </c>
      <c r="V44" s="100"/>
    </row>
    <row r="45" spans="1:22" ht="16.5" customHeight="1" x14ac:dyDescent="0.25">
      <c r="A45" s="127">
        <v>6.4</v>
      </c>
      <c r="B45" s="75" t="s">
        <v>38</v>
      </c>
      <c r="C45" s="76" t="s">
        <v>13</v>
      </c>
      <c r="D45" s="27">
        <v>13593.2</v>
      </c>
      <c r="E45" s="4">
        <v>14156.4</v>
      </c>
      <c r="F45" s="4">
        <v>14156.4</v>
      </c>
      <c r="G45" s="27" t="e">
        <f>((#REF!-#REF!)/#REF!)*100</f>
        <v>#REF!</v>
      </c>
      <c r="H45" s="29">
        <v>9564</v>
      </c>
      <c r="I45" s="27">
        <f>((H45-D45)/D45)*100</f>
        <v>-29.641291233852225</v>
      </c>
      <c r="J45" s="27">
        <v>1912.8</v>
      </c>
      <c r="K45" s="27">
        <v>1912.8</v>
      </c>
      <c r="L45" s="27">
        <f t="shared" si="2"/>
        <v>0</v>
      </c>
      <c r="M45" s="27">
        <v>1912.8</v>
      </c>
      <c r="N45" s="27">
        <f t="shared" si="3"/>
        <v>0</v>
      </c>
      <c r="O45" s="27">
        <v>1912.8</v>
      </c>
      <c r="P45" s="27">
        <f t="shared" si="4"/>
        <v>0</v>
      </c>
      <c r="Q45" s="27">
        <v>1912.8</v>
      </c>
      <c r="R45" s="27">
        <f t="shared" si="5"/>
        <v>0</v>
      </c>
      <c r="S45" s="27">
        <f t="shared" si="18"/>
        <v>478.20000000000005</v>
      </c>
      <c r="T45" s="99">
        <v>634.4</v>
      </c>
      <c r="U45" s="99">
        <f t="shared" si="19"/>
        <v>33.166039314094519</v>
      </c>
      <c r="V45" s="100"/>
    </row>
    <row r="46" spans="1:22" ht="16.5" customHeight="1" x14ac:dyDescent="0.25">
      <c r="A46" s="127"/>
      <c r="B46" s="30" t="s">
        <v>93</v>
      </c>
      <c r="C46" s="31"/>
      <c r="D46" s="92"/>
      <c r="E46" s="92"/>
      <c r="F46" s="92"/>
      <c r="G46" s="27"/>
      <c r="H46" s="92"/>
      <c r="I46" s="27"/>
      <c r="J46" s="47"/>
      <c r="K46" s="47"/>
      <c r="L46" s="27"/>
      <c r="M46" s="47"/>
      <c r="N46" s="27"/>
      <c r="O46" s="47"/>
      <c r="P46" s="27"/>
      <c r="Q46" s="47"/>
      <c r="R46" s="27"/>
      <c r="S46" s="29"/>
      <c r="T46" s="95"/>
      <c r="U46" s="94"/>
      <c r="V46" s="100"/>
    </row>
    <row r="47" spans="1:22" ht="28.5" customHeight="1" x14ac:dyDescent="0.25">
      <c r="A47" s="127"/>
      <c r="B47" s="30" t="s">
        <v>104</v>
      </c>
      <c r="C47" s="31" t="s">
        <v>13</v>
      </c>
      <c r="D47" s="29">
        <v>13593.2</v>
      </c>
      <c r="E47" s="8">
        <v>14156.4</v>
      </c>
      <c r="F47" s="8">
        <v>14156.4</v>
      </c>
      <c r="G47" s="27" t="e">
        <f>((#REF!-#REF!)/#REF!)*100</f>
        <v>#REF!</v>
      </c>
      <c r="H47" s="31">
        <f>J47+K47+M47+O47+Q47</f>
        <v>922.5</v>
      </c>
      <c r="I47" s="27">
        <f>((H47-D47)/D47)*100</f>
        <v>-93.213518523967863</v>
      </c>
      <c r="J47" s="47">
        <v>184.5</v>
      </c>
      <c r="K47" s="47">
        <v>184.5</v>
      </c>
      <c r="L47" s="27">
        <f t="shared" si="2"/>
        <v>0</v>
      </c>
      <c r="M47" s="47">
        <v>184.5</v>
      </c>
      <c r="N47" s="27">
        <f t="shared" si="3"/>
        <v>0</v>
      </c>
      <c r="O47" s="47">
        <v>184.5</v>
      </c>
      <c r="P47" s="27">
        <f t="shared" si="4"/>
        <v>0</v>
      </c>
      <c r="Q47" s="47">
        <v>184.5</v>
      </c>
      <c r="R47" s="27">
        <f t="shared" si="5"/>
        <v>0</v>
      </c>
      <c r="S47" s="29">
        <f t="shared" ref="S47:S51" si="20">J47/12*3</f>
        <v>46.125</v>
      </c>
      <c r="T47" s="94"/>
      <c r="U47" s="94"/>
      <c r="V47" s="100"/>
    </row>
    <row r="48" spans="1:22" ht="18" customHeight="1" x14ac:dyDescent="0.25">
      <c r="A48" s="77"/>
      <c r="B48" s="30" t="s">
        <v>25</v>
      </c>
      <c r="C48" s="31" t="s">
        <v>13</v>
      </c>
      <c r="D48" s="92"/>
      <c r="E48" s="92"/>
      <c r="F48" s="92"/>
      <c r="G48" s="27" t="e">
        <f>((#REF!-#REF!)/#REF!)*100</f>
        <v>#REF!</v>
      </c>
      <c r="H48" s="31">
        <v>922.5</v>
      </c>
      <c r="I48" s="27"/>
      <c r="J48" s="31">
        <v>184.5</v>
      </c>
      <c r="K48" s="31">
        <v>184.5</v>
      </c>
      <c r="L48" s="27">
        <f t="shared" si="2"/>
        <v>0</v>
      </c>
      <c r="M48" s="31">
        <v>184.5</v>
      </c>
      <c r="N48" s="27">
        <f t="shared" si="3"/>
        <v>0</v>
      </c>
      <c r="O48" s="31">
        <v>184.5</v>
      </c>
      <c r="P48" s="27">
        <f t="shared" si="4"/>
        <v>0</v>
      </c>
      <c r="Q48" s="31">
        <v>184.5</v>
      </c>
      <c r="R48" s="27">
        <f t="shared" si="5"/>
        <v>0</v>
      </c>
      <c r="S48" s="29">
        <f t="shared" si="20"/>
        <v>46.125</v>
      </c>
      <c r="T48" s="94">
        <v>191.7</v>
      </c>
      <c r="U48" s="94">
        <f t="shared" ref="U48:U51" si="21">T48/J48*100</f>
        <v>103.90243902439025</v>
      </c>
      <c r="V48" s="100"/>
    </row>
    <row r="49" spans="1:22" ht="26.25" customHeight="1" x14ac:dyDescent="0.25">
      <c r="A49" s="77"/>
      <c r="B49" s="30" t="s">
        <v>97</v>
      </c>
      <c r="C49" s="31" t="s">
        <v>13</v>
      </c>
      <c r="D49" s="92"/>
      <c r="E49" s="92"/>
      <c r="F49" s="92"/>
      <c r="G49" s="27" t="e">
        <f>((#REF!-#REF!)/#REF!)*100</f>
        <v>#REF!</v>
      </c>
      <c r="H49" s="29">
        <v>4069.5</v>
      </c>
      <c r="I49" s="27"/>
      <c r="J49" s="31">
        <v>813.9</v>
      </c>
      <c r="K49" s="31">
        <v>813.9</v>
      </c>
      <c r="L49" s="27">
        <f t="shared" si="2"/>
        <v>0</v>
      </c>
      <c r="M49" s="31">
        <v>813.9</v>
      </c>
      <c r="N49" s="27">
        <f t="shared" si="3"/>
        <v>0</v>
      </c>
      <c r="O49" s="31">
        <v>813.9</v>
      </c>
      <c r="P49" s="27">
        <f t="shared" si="4"/>
        <v>0</v>
      </c>
      <c r="Q49" s="31">
        <v>813.9</v>
      </c>
      <c r="R49" s="27">
        <f t="shared" si="5"/>
        <v>0</v>
      </c>
      <c r="S49" s="29">
        <f t="shared" si="20"/>
        <v>203.47500000000002</v>
      </c>
      <c r="T49" s="94">
        <v>143.19999999999999</v>
      </c>
      <c r="U49" s="94">
        <f t="shared" si="21"/>
        <v>17.594299053937828</v>
      </c>
      <c r="V49" s="100"/>
    </row>
    <row r="50" spans="1:22" ht="27" customHeight="1" x14ac:dyDescent="0.25">
      <c r="A50" s="77"/>
      <c r="B50" s="30" t="s">
        <v>40</v>
      </c>
      <c r="C50" s="31" t="s">
        <v>13</v>
      </c>
      <c r="D50" s="92"/>
      <c r="E50" s="92"/>
      <c r="F50" s="92"/>
      <c r="G50" s="27" t="e">
        <f>((#REF!-#REF!)/#REF!)*100</f>
        <v>#REF!</v>
      </c>
      <c r="H50" s="29">
        <v>1512</v>
      </c>
      <c r="I50" s="27"/>
      <c r="J50" s="31">
        <v>302.39999999999998</v>
      </c>
      <c r="K50" s="31">
        <v>302.39999999999998</v>
      </c>
      <c r="L50" s="27">
        <f t="shared" si="2"/>
        <v>0</v>
      </c>
      <c r="M50" s="31">
        <v>302.39999999999998</v>
      </c>
      <c r="N50" s="27">
        <f t="shared" si="3"/>
        <v>0</v>
      </c>
      <c r="O50" s="31">
        <v>302.39999999999998</v>
      </c>
      <c r="P50" s="27">
        <f t="shared" si="4"/>
        <v>0</v>
      </c>
      <c r="Q50" s="31">
        <v>302.39999999999998</v>
      </c>
      <c r="R50" s="27">
        <f t="shared" si="5"/>
        <v>0</v>
      </c>
      <c r="S50" s="29">
        <f t="shared" si="20"/>
        <v>75.599999999999994</v>
      </c>
      <c r="T50" s="94">
        <v>112</v>
      </c>
      <c r="U50" s="94">
        <f t="shared" si="21"/>
        <v>37.037037037037038</v>
      </c>
      <c r="V50" s="100"/>
    </row>
    <row r="51" spans="1:22" ht="28.5" customHeight="1" x14ac:dyDescent="0.25">
      <c r="A51" s="77"/>
      <c r="B51" s="30" t="s">
        <v>45</v>
      </c>
      <c r="C51" s="31" t="s">
        <v>13</v>
      </c>
      <c r="D51" s="92"/>
      <c r="E51" s="92"/>
      <c r="F51" s="92"/>
      <c r="G51" s="27" t="e">
        <f>((#REF!-#REF!)/#REF!)*100</f>
        <v>#REF!</v>
      </c>
      <c r="H51" s="29">
        <v>3060</v>
      </c>
      <c r="I51" s="27"/>
      <c r="J51" s="31">
        <v>612</v>
      </c>
      <c r="K51" s="31">
        <v>612</v>
      </c>
      <c r="L51" s="27">
        <f t="shared" si="2"/>
        <v>0</v>
      </c>
      <c r="M51" s="31">
        <v>612</v>
      </c>
      <c r="N51" s="27">
        <f t="shared" si="3"/>
        <v>0</v>
      </c>
      <c r="O51" s="31">
        <v>612</v>
      </c>
      <c r="P51" s="27">
        <f t="shared" si="4"/>
        <v>0</v>
      </c>
      <c r="Q51" s="31">
        <v>612</v>
      </c>
      <c r="R51" s="27">
        <f t="shared" si="5"/>
        <v>0</v>
      </c>
      <c r="S51" s="29">
        <f t="shared" si="20"/>
        <v>153</v>
      </c>
      <c r="T51" s="94">
        <v>187.5</v>
      </c>
      <c r="U51" s="94">
        <f t="shared" si="21"/>
        <v>30.637254901960787</v>
      </c>
      <c r="V51" s="100"/>
    </row>
    <row r="52" spans="1:22" ht="25.5" customHeight="1" x14ac:dyDescent="0.25">
      <c r="A52" s="76">
        <v>7</v>
      </c>
      <c r="B52" s="75" t="s">
        <v>48</v>
      </c>
      <c r="C52" s="76" t="s">
        <v>13</v>
      </c>
      <c r="D52" s="92"/>
      <c r="E52" s="92"/>
      <c r="F52" s="92"/>
      <c r="G52" s="27"/>
      <c r="H52" s="92"/>
      <c r="I52" s="27"/>
      <c r="J52" s="47"/>
      <c r="K52" s="47"/>
      <c r="L52" s="27"/>
      <c r="M52" s="47"/>
      <c r="N52" s="27"/>
      <c r="O52" s="95"/>
      <c r="P52" s="27"/>
      <c r="Q52" s="95"/>
      <c r="R52" s="27"/>
      <c r="S52" s="29"/>
      <c r="T52" s="95"/>
      <c r="U52" s="94"/>
      <c r="V52" s="100"/>
    </row>
    <row r="53" spans="1:22" ht="27" customHeight="1" x14ac:dyDescent="0.25">
      <c r="A53" s="76" t="s">
        <v>49</v>
      </c>
      <c r="B53" s="75" t="s">
        <v>50</v>
      </c>
      <c r="C53" s="76" t="s">
        <v>13</v>
      </c>
      <c r="D53" s="27">
        <v>189000</v>
      </c>
      <c r="E53" s="4">
        <v>171187.20000000001</v>
      </c>
      <c r="F53" s="4">
        <v>171187.20000000001</v>
      </c>
      <c r="G53" s="27" t="e">
        <f>((#REF!-#REF!)/#REF!)*100</f>
        <v>#REF!</v>
      </c>
      <c r="H53" s="27">
        <f>H11+H39</f>
        <v>1116588.3999999999</v>
      </c>
      <c r="I53" s="27">
        <f>((H53-D53)/D53)*100</f>
        <v>490.78751322751322</v>
      </c>
      <c r="J53" s="27">
        <f t="shared" ref="J53:Q53" si="22">J11+J39</f>
        <v>216997.19999999998</v>
      </c>
      <c r="K53" s="27">
        <f t="shared" si="22"/>
        <v>220423.40000000002</v>
      </c>
      <c r="L53" s="27">
        <f t="shared" si="2"/>
        <v>1.5789143823054126</v>
      </c>
      <c r="M53" s="27">
        <f t="shared" si="22"/>
        <v>223173.9</v>
      </c>
      <c r="N53" s="27">
        <f t="shared" si="3"/>
        <v>1.2478257753033346</v>
      </c>
      <c r="O53" s="27">
        <f t="shared" si="22"/>
        <v>226008.40000000002</v>
      </c>
      <c r="P53" s="27">
        <f t="shared" si="4"/>
        <v>1.2700857940825647</v>
      </c>
      <c r="Q53" s="27">
        <f t="shared" si="22"/>
        <v>229985.40000000002</v>
      </c>
      <c r="R53" s="27">
        <f t="shared" si="5"/>
        <v>1.7596691096437123</v>
      </c>
      <c r="S53" s="27">
        <f>J53/12*3</f>
        <v>54249.299999999996</v>
      </c>
      <c r="T53" s="99">
        <v>93245.16</v>
      </c>
      <c r="U53" s="99">
        <f>T53/J53*100</f>
        <v>42.970674275981445</v>
      </c>
      <c r="V53" s="100"/>
    </row>
    <row r="54" spans="1:22" ht="15" customHeight="1" x14ac:dyDescent="0.25">
      <c r="A54" s="76" t="s">
        <v>51</v>
      </c>
      <c r="B54" s="75" t="s">
        <v>52</v>
      </c>
      <c r="C54" s="76" t="s">
        <v>13</v>
      </c>
      <c r="D54" s="92"/>
      <c r="E54" s="4">
        <v>-34079.800000000003</v>
      </c>
      <c r="F54" s="4">
        <v>-34079.800000000003</v>
      </c>
      <c r="G54" s="27"/>
      <c r="H54" s="2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9"/>
      <c r="T54" s="95"/>
      <c r="U54" s="94"/>
      <c r="V54" s="100"/>
    </row>
    <row r="55" spans="1:22" ht="39" customHeight="1" x14ac:dyDescent="0.25">
      <c r="A55" s="76" t="s">
        <v>53</v>
      </c>
      <c r="B55" s="75" t="s">
        <v>54</v>
      </c>
      <c r="C55" s="76" t="s">
        <v>13</v>
      </c>
      <c r="D55" s="92"/>
      <c r="E55" s="92"/>
      <c r="F55" s="92"/>
      <c r="G55" s="27"/>
      <c r="H55" s="92"/>
      <c r="I55" s="27"/>
      <c r="J55" s="47"/>
      <c r="K55" s="47"/>
      <c r="L55" s="27"/>
      <c r="M55" s="47"/>
      <c r="N55" s="27"/>
      <c r="O55" s="47"/>
      <c r="P55" s="27"/>
      <c r="Q55" s="47"/>
      <c r="R55" s="27"/>
      <c r="S55" s="29"/>
      <c r="T55" s="95"/>
      <c r="U55" s="94"/>
      <c r="V55" s="100"/>
    </row>
    <row r="56" spans="1:22" ht="18.75" customHeight="1" x14ac:dyDescent="0.25">
      <c r="A56" s="76" t="s">
        <v>55</v>
      </c>
      <c r="B56" s="75" t="s">
        <v>56</v>
      </c>
      <c r="C56" s="76" t="s">
        <v>13</v>
      </c>
      <c r="D56" s="27">
        <v>189000</v>
      </c>
      <c r="E56" s="4">
        <v>137107.4</v>
      </c>
      <c r="F56" s="4">
        <v>137107.4</v>
      </c>
      <c r="G56" s="27" t="e">
        <f>((#REF!-#REF!)/#REF!)*100</f>
        <v>#REF!</v>
      </c>
      <c r="H56" s="27">
        <f>H53</f>
        <v>1116588.3999999999</v>
      </c>
      <c r="I56" s="27">
        <f t="shared" ref="I56:I64" si="23">((H56-D56)/D56)*100</f>
        <v>490.78751322751322</v>
      </c>
      <c r="J56" s="27">
        <f>J53</f>
        <v>216997.19999999998</v>
      </c>
      <c r="K56" s="27">
        <f t="shared" ref="K56:Q56" si="24">K53</f>
        <v>220423.40000000002</v>
      </c>
      <c r="L56" s="27">
        <f t="shared" si="2"/>
        <v>1.5789143823054126</v>
      </c>
      <c r="M56" s="27">
        <f t="shared" si="24"/>
        <v>223173.9</v>
      </c>
      <c r="N56" s="27">
        <f t="shared" si="3"/>
        <v>1.2478257753033346</v>
      </c>
      <c r="O56" s="27">
        <f t="shared" si="24"/>
        <v>226008.40000000002</v>
      </c>
      <c r="P56" s="27">
        <f t="shared" si="4"/>
        <v>1.2700857940825647</v>
      </c>
      <c r="Q56" s="27">
        <f t="shared" si="24"/>
        <v>229985.40000000002</v>
      </c>
      <c r="R56" s="27">
        <f t="shared" si="5"/>
        <v>1.7596691096437123</v>
      </c>
      <c r="S56" s="27">
        <f t="shared" ref="S56:S57" si="25">J56/12*3</f>
        <v>54249.299999999996</v>
      </c>
      <c r="T56" s="99">
        <v>93245.16</v>
      </c>
      <c r="U56" s="99">
        <f t="shared" ref="U56:U58" si="26">T56/J56*100</f>
        <v>42.970674275981445</v>
      </c>
      <c r="V56" s="100"/>
    </row>
    <row r="57" spans="1:22" ht="29.25" customHeight="1" x14ac:dyDescent="0.25">
      <c r="A57" s="76" t="s">
        <v>57</v>
      </c>
      <c r="B57" s="75" t="s">
        <v>58</v>
      </c>
      <c r="C57" s="76" t="s">
        <v>105</v>
      </c>
      <c r="D57" s="76">
        <v>700</v>
      </c>
      <c r="E57" s="8">
        <v>507.8</v>
      </c>
      <c r="F57" s="8">
        <v>507.8</v>
      </c>
      <c r="G57" s="27" t="e">
        <f>((#REF!-#REF!)/#REF!)*100</f>
        <v>#REF!</v>
      </c>
      <c r="H57" s="29">
        <f>J57+K57+M57+O57+Q57</f>
        <v>3500</v>
      </c>
      <c r="I57" s="27">
        <f t="shared" si="23"/>
        <v>400</v>
      </c>
      <c r="J57" s="76">
        <v>700</v>
      </c>
      <c r="K57" s="76">
        <v>700</v>
      </c>
      <c r="L57" s="27">
        <f t="shared" si="2"/>
        <v>0</v>
      </c>
      <c r="M57" s="76">
        <v>700</v>
      </c>
      <c r="N57" s="27">
        <f t="shared" si="3"/>
        <v>0</v>
      </c>
      <c r="O57" s="76">
        <v>700</v>
      </c>
      <c r="P57" s="27">
        <f t="shared" si="4"/>
        <v>0</v>
      </c>
      <c r="Q57" s="76">
        <v>700</v>
      </c>
      <c r="R57" s="27">
        <f t="shared" si="5"/>
        <v>0</v>
      </c>
      <c r="S57" s="27">
        <f t="shared" si="25"/>
        <v>175</v>
      </c>
      <c r="T57" s="99">
        <v>154</v>
      </c>
      <c r="U57" s="99">
        <f t="shared" si="26"/>
        <v>22</v>
      </c>
      <c r="V57" s="100"/>
    </row>
    <row r="58" spans="1:22" ht="31.5" customHeight="1" x14ac:dyDescent="0.25">
      <c r="A58" s="117" t="s">
        <v>60</v>
      </c>
      <c r="B58" s="117" t="s">
        <v>61</v>
      </c>
      <c r="C58" s="76" t="s">
        <v>62</v>
      </c>
      <c r="D58" s="76">
        <v>35.799999999999997</v>
      </c>
      <c r="E58" s="72">
        <v>17.399999999999999</v>
      </c>
      <c r="F58" s="72">
        <v>17.399999999999999</v>
      </c>
      <c r="G58" s="27" t="e">
        <f>((#REF!-#REF!)/#REF!)*100</f>
        <v>#REF!</v>
      </c>
      <c r="H58" s="92"/>
      <c r="I58" s="27">
        <f t="shared" si="23"/>
        <v>-100</v>
      </c>
      <c r="J58" s="45">
        <v>17.399999999999999</v>
      </c>
      <c r="K58" s="76">
        <v>17.3</v>
      </c>
      <c r="L58" s="27">
        <f t="shared" si="2"/>
        <v>-0.57471264367814867</v>
      </c>
      <c r="M58" s="76">
        <v>17.2</v>
      </c>
      <c r="N58" s="27">
        <f t="shared" si="3"/>
        <v>-0.57803468208093312</v>
      </c>
      <c r="O58" s="76">
        <v>17.100000000000001</v>
      </c>
      <c r="P58" s="27">
        <f t="shared" si="4"/>
        <v>-0.5813953488371969</v>
      </c>
      <c r="Q58" s="76">
        <v>17</v>
      </c>
      <c r="R58" s="27">
        <f t="shared" si="5"/>
        <v>-0.58479532163743519</v>
      </c>
      <c r="S58" s="27">
        <v>17.399999999999999</v>
      </c>
      <c r="T58" s="99">
        <v>17.399999999999999</v>
      </c>
      <c r="U58" s="99">
        <f t="shared" si="26"/>
        <v>100</v>
      </c>
      <c r="V58" s="100"/>
    </row>
    <row r="59" spans="1:22" ht="20.25" customHeight="1" x14ac:dyDescent="0.25">
      <c r="A59" s="126"/>
      <c r="B59" s="126"/>
      <c r="C59" s="76" t="s">
        <v>105</v>
      </c>
      <c r="D59" s="76">
        <v>250.6</v>
      </c>
      <c r="E59" s="46">
        <v>171.6</v>
      </c>
      <c r="F59" s="46">
        <v>171.6</v>
      </c>
      <c r="G59" s="27" t="e">
        <f>((#REF!-#REF!)/#REF!)*100</f>
        <v>#REF!</v>
      </c>
      <c r="H59" s="31">
        <v>918.8</v>
      </c>
      <c r="I59" s="27">
        <f t="shared" si="23"/>
        <v>266.6400638467677</v>
      </c>
      <c r="J59" s="76">
        <v>185.9</v>
      </c>
      <c r="K59" s="76">
        <v>184.8</v>
      </c>
      <c r="L59" s="27">
        <f t="shared" si="2"/>
        <v>-0.59171597633135786</v>
      </c>
      <c r="M59" s="76">
        <v>183.8</v>
      </c>
      <c r="N59" s="27">
        <f t="shared" si="3"/>
        <v>-0.54112554112554112</v>
      </c>
      <c r="O59" s="76">
        <v>182.7</v>
      </c>
      <c r="P59" s="27">
        <f t="shared" si="4"/>
        <v>-0.59847660500545308</v>
      </c>
      <c r="Q59" s="76">
        <v>181.6</v>
      </c>
      <c r="R59" s="27">
        <f t="shared" si="5"/>
        <v>-0.60207991242473691</v>
      </c>
      <c r="S59" s="29"/>
      <c r="T59" s="99">
        <v>70.5</v>
      </c>
      <c r="U59" s="94"/>
      <c r="V59" s="100"/>
    </row>
    <row r="60" spans="1:22" ht="24.75" customHeight="1" x14ac:dyDescent="0.25">
      <c r="A60" s="118"/>
      <c r="B60" s="118"/>
      <c r="C60" s="76" t="s">
        <v>106</v>
      </c>
      <c r="D60" s="27">
        <v>67659.600000000006</v>
      </c>
      <c r="E60" s="4">
        <v>46326.32</v>
      </c>
      <c r="F60" s="4">
        <v>46326.32</v>
      </c>
      <c r="G60" s="27" t="e">
        <f>((#REF!-#REF!)/#REF!)*100</f>
        <v>#REF!</v>
      </c>
      <c r="H60" s="27">
        <v>511227.6</v>
      </c>
      <c r="I60" s="27">
        <f t="shared" si="23"/>
        <v>655.58767713672557</v>
      </c>
      <c r="J60" s="27">
        <v>95439.6</v>
      </c>
      <c r="K60" s="27">
        <v>98646.2</v>
      </c>
      <c r="L60" s="27">
        <f t="shared" si="2"/>
        <v>3.3598212901143669</v>
      </c>
      <c r="M60" s="27">
        <v>102039.1</v>
      </c>
      <c r="N60" s="27">
        <f t="shared" si="3"/>
        <v>3.4394634562710058</v>
      </c>
      <c r="O60" s="48">
        <v>105582.9</v>
      </c>
      <c r="P60" s="27">
        <f t="shared" si="4"/>
        <v>3.4729824155642177</v>
      </c>
      <c r="Q60" s="48">
        <v>109283.9</v>
      </c>
      <c r="R60" s="27">
        <f t="shared" si="5"/>
        <v>3.5053024684868475</v>
      </c>
      <c r="S60" s="29"/>
      <c r="T60" s="99">
        <v>22504</v>
      </c>
      <c r="U60" s="94"/>
      <c r="V60" s="100"/>
    </row>
    <row r="61" spans="1:22" ht="41.25" customHeight="1" x14ac:dyDescent="0.25">
      <c r="A61" s="76" t="s">
        <v>63</v>
      </c>
      <c r="B61" s="75" t="s">
        <v>64</v>
      </c>
      <c r="C61" s="76" t="s">
        <v>65</v>
      </c>
      <c r="D61" s="76">
        <v>270</v>
      </c>
      <c r="E61" s="72">
        <v>270</v>
      </c>
      <c r="F61" s="72">
        <v>270</v>
      </c>
      <c r="G61" s="27" t="e">
        <f>((#REF!-#REF!)/#REF!)*100</f>
        <v>#REF!</v>
      </c>
      <c r="H61" s="45">
        <f>H56/H57</f>
        <v>319.02525714285713</v>
      </c>
      <c r="I61" s="27">
        <f t="shared" si="23"/>
        <v>18.157502645502639</v>
      </c>
      <c r="J61" s="45">
        <f>J56/J57</f>
        <v>309.99599999999998</v>
      </c>
      <c r="K61" s="45">
        <f t="shared" ref="K61:Q61" si="27">K56/K57</f>
        <v>314.89057142857143</v>
      </c>
      <c r="L61" s="27">
        <f t="shared" si="2"/>
        <v>1.5789143823054019</v>
      </c>
      <c r="M61" s="45">
        <f t="shared" si="27"/>
        <v>318.81985714285713</v>
      </c>
      <c r="N61" s="27">
        <f t="shared" si="3"/>
        <v>1.2478257753033426</v>
      </c>
      <c r="O61" s="45">
        <f t="shared" si="27"/>
        <v>322.86914285714289</v>
      </c>
      <c r="P61" s="27">
        <f t="shared" si="4"/>
        <v>1.2700857940825658</v>
      </c>
      <c r="Q61" s="45">
        <f t="shared" si="27"/>
        <v>328.55057142857146</v>
      </c>
      <c r="R61" s="27">
        <f t="shared" si="5"/>
        <v>1.7596691096437114</v>
      </c>
      <c r="S61" s="27">
        <f>S56/S57</f>
        <v>309.99599999999998</v>
      </c>
      <c r="T61" s="99">
        <f>T56/T57</f>
        <v>605.48805194805198</v>
      </c>
      <c r="U61" s="99">
        <f>T61/J61*100</f>
        <v>195.32124670900657</v>
      </c>
      <c r="V61" s="100"/>
    </row>
    <row r="62" spans="1:22" ht="30" hidden="1" customHeight="1" thickBot="1" x14ac:dyDescent="0.3">
      <c r="A62" s="49"/>
      <c r="B62" s="50" t="s">
        <v>66</v>
      </c>
      <c r="C62" s="51"/>
      <c r="D62" s="51">
        <v>270</v>
      </c>
      <c r="E62" s="52">
        <v>337.1</v>
      </c>
      <c r="F62" s="52">
        <v>337.1</v>
      </c>
      <c r="G62" s="53"/>
      <c r="H62" s="54"/>
      <c r="I62" s="53">
        <f t="shared" si="23"/>
        <v>-100</v>
      </c>
      <c r="J62" s="51">
        <v>425.48</v>
      </c>
      <c r="K62" s="54"/>
      <c r="L62" s="53">
        <f t="shared" si="2"/>
        <v>-100</v>
      </c>
      <c r="M62" s="54"/>
      <c r="N62" s="53"/>
      <c r="O62" s="54"/>
      <c r="P62" s="53"/>
      <c r="Q62" s="55"/>
      <c r="R62" s="53"/>
      <c r="S62" s="56"/>
    </row>
    <row r="63" spans="1:22" ht="15.75" hidden="1" thickBot="1" x14ac:dyDescent="0.3">
      <c r="A63" s="49"/>
      <c r="B63" s="57" t="s">
        <v>67</v>
      </c>
      <c r="C63" s="51" t="s">
        <v>68</v>
      </c>
      <c r="D63" s="51">
        <v>100</v>
      </c>
      <c r="E63" s="54"/>
      <c r="F63" s="54"/>
      <c r="G63" s="53"/>
      <c r="H63" s="51">
        <v>206.1</v>
      </c>
      <c r="I63" s="53">
        <f t="shared" si="23"/>
        <v>106.1</v>
      </c>
      <c r="J63" s="51">
        <v>117.8</v>
      </c>
      <c r="K63" s="54"/>
      <c r="L63" s="53">
        <f t="shared" si="2"/>
        <v>-100</v>
      </c>
      <c r="M63" s="54"/>
      <c r="N63" s="53"/>
      <c r="O63" s="54"/>
      <c r="P63" s="53"/>
      <c r="Q63" s="55"/>
      <c r="R63" s="53"/>
      <c r="S63" s="56"/>
    </row>
    <row r="64" spans="1:22" ht="15.75" hidden="1" thickBot="1" x14ac:dyDescent="0.3">
      <c r="A64" s="58"/>
      <c r="B64" s="59" t="s">
        <v>69</v>
      </c>
      <c r="C64" s="60" t="s">
        <v>68</v>
      </c>
      <c r="D64" s="60">
        <v>100</v>
      </c>
      <c r="E64" s="61">
        <v>124.9</v>
      </c>
      <c r="F64" s="61">
        <v>124.9</v>
      </c>
      <c r="G64" s="53"/>
      <c r="H64" s="62"/>
      <c r="I64" s="53">
        <f t="shared" si="23"/>
        <v>-100</v>
      </c>
      <c r="J64" s="62"/>
      <c r="K64" s="62"/>
      <c r="L64" s="53"/>
      <c r="M64" s="62"/>
      <c r="N64" s="53"/>
      <c r="O64" s="62"/>
      <c r="P64" s="53"/>
      <c r="Q64" s="63"/>
      <c r="R64" s="53"/>
      <c r="S64" s="56"/>
    </row>
    <row r="66" spans="2:9" x14ac:dyDescent="0.25">
      <c r="H66" s="64"/>
      <c r="I66" s="64"/>
    </row>
    <row r="69" spans="2:9" x14ac:dyDescent="0.25">
      <c r="B69" s="105" t="s">
        <v>138</v>
      </c>
    </row>
    <row r="70" spans="2:9" x14ac:dyDescent="0.25">
      <c r="H70" s="64">
        <f>((H61-D61)/D61)*100</f>
        <v>18.157502645502639</v>
      </c>
      <c r="I70" s="64"/>
    </row>
    <row r="71" spans="2:9" x14ac:dyDescent="0.25">
      <c r="B71" s="23"/>
    </row>
  </sheetData>
  <mergeCells count="19">
    <mergeCell ref="J9:J10"/>
    <mergeCell ref="S9:S10"/>
    <mergeCell ref="T9:T10"/>
    <mergeCell ref="U9:U10"/>
    <mergeCell ref="V9:V10"/>
    <mergeCell ref="B58:B60"/>
    <mergeCell ref="A58:A60"/>
    <mergeCell ref="A40:A41"/>
    <mergeCell ref="A45:A47"/>
    <mergeCell ref="A28:A38"/>
    <mergeCell ref="A11:A12"/>
    <mergeCell ref="A13:A14"/>
    <mergeCell ref="A21:A22"/>
    <mergeCell ref="E9:E10"/>
    <mergeCell ref="F9:F10"/>
    <mergeCell ref="A9:A10"/>
    <mergeCell ref="B9:B10"/>
    <mergeCell ref="C9:C10"/>
    <mergeCell ref="D9:D10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производство</vt:lpstr>
      <vt:lpstr>передача</vt:lpstr>
      <vt:lpstr>гор вода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2016-05-04T07:51:34Z</cp:lastPrinted>
  <dcterms:created xsi:type="dcterms:W3CDTF">2015-03-10T07:58:41Z</dcterms:created>
  <dcterms:modified xsi:type="dcterms:W3CDTF">2016-08-04T08:08:02Z</dcterms:modified>
</cp:coreProperties>
</file>